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codeName="{4D1C537B-E38A-612A-F078-A93A15B4B7F4}"/>
  <workbookPr codeName="ThisWorkbook" defaultThemeVersion="166925"/>
  <mc:AlternateContent xmlns:mc="http://schemas.openxmlformats.org/markup-compatibility/2006">
    <mc:Choice Requires="x15">
      <x15ac:absPath xmlns:x15ac="http://schemas.microsoft.com/office/spreadsheetml/2010/11/ac" url="C:\Users\Elevage\Dropbox (Les Bios du Gers)\Les Bios du Gers\1 Elevage\Donnees volailles\"/>
    </mc:Choice>
  </mc:AlternateContent>
  <xr:revisionPtr revIDLastSave="0" documentId="13_ncr:1_{1810D296-D7B2-445C-936B-5BFD7C06E589}" xr6:coauthVersionLast="46" xr6:coauthVersionMax="46" xr10:uidLastSave="{00000000-0000-0000-0000-000000000000}"/>
  <bookViews>
    <workbookView xWindow="-120" yWindow="-120" windowWidth="20730" windowHeight="11160" tabRatio="818" activeTab="1" xr2:uid="{00000000-000D-0000-FFFF-FFFF00000000}"/>
  </bookViews>
  <sheets>
    <sheet name="Impressum" sheetId="17" r:id="rId1"/>
    <sheet name="Tool" sheetId="9" r:id="rId2"/>
    <sheet name="Database_Feedstuffs" sheetId="4" r:id="rId3"/>
    <sheet name="Poultry_Needs" sheetId="10" r:id="rId4"/>
    <sheet name="Roughage_Forage" sheetId="21" r:id="rId5"/>
    <sheet name="PDF_Export" sheetId="15" r:id="rId6"/>
    <sheet name="Contribution" sheetId="16" state="hidden" r:id="rId7"/>
    <sheet name="List_sheet" sheetId="13" state="hidden" r:id="rId8"/>
    <sheet name="About" sheetId="20" r:id="rId9"/>
    <sheet name="References" sheetId="19" r:id="rId10"/>
  </sheets>
  <externalReferences>
    <externalReference r:id="rId11"/>
  </externalReferences>
  <definedNames>
    <definedName name="_xlnm._FilterDatabase" localSheetId="6" hidden="1">Contribution!$A$1:$H$1</definedName>
    <definedName name="f_feedstuffs" localSheetId="8">OFFSET(About!p_feedstuffs,0,0,COUNTA(About!l_feedstuffs)-1)</definedName>
    <definedName name="f_feedstuffs" localSheetId="0">OFFSET([0]!p_feedstuffs,0,0,COUNTA([0]!l_feedstuffs)-1)</definedName>
    <definedName name="f_feedstuffs">OFFSET(p_feedstuffs,0,0,COUNTA(l_feedstuffs)-1)</definedName>
    <definedName name="Feedstuffs">[1]Database_Feedstuffs!$A$3:$AS$85</definedName>
    <definedName name="l_feedstuffs" localSheetId="8">Database_Feedstuffs!$A:$A</definedName>
    <definedName name="l_feedstuffs">Database_Feedstuffs!$A:$A</definedName>
    <definedName name="l_formula" localSheetId="8">List_sheet!$J$2:$J$99</definedName>
    <definedName name="l_formula">List_sheet!$J$2:$J$99</definedName>
    <definedName name="l_scenarios" localSheetId="8">List_sheet!$E$2:$E$100</definedName>
    <definedName name="l_scenarios">List_sheet!$E$2:$E$100</definedName>
    <definedName name="p_feedstuffs" localSheetId="8">Database_Feedstuffs!#REF!</definedName>
    <definedName name="p_feedstuffs">Database_Feedstuffs!#REF!</definedName>
    <definedName name="p_formula" localSheetId="8">List_sheet!$J$2</definedName>
    <definedName name="p_formula">List_sheet!$J$2</definedName>
    <definedName name="p_scenarios" localSheetId="8">List_sheet!$E$2</definedName>
    <definedName name="p_scenarios">List_sheet!$E$2</definedName>
    <definedName name="Requirement">[1]!Table2[#All]</definedName>
    <definedName name="solver_adj" localSheetId="1" hidden="1">Tool!$F$14:$F$25</definedName>
    <definedName name="solver_cvg" localSheetId="1" hidden="1">0.0001</definedName>
    <definedName name="solver_drv" localSheetId="1" hidden="1">2</definedName>
    <definedName name="solver_eng" localSheetId="1" hidden="1">2</definedName>
    <definedName name="solver_est" localSheetId="1" hidden="1">1</definedName>
    <definedName name="solver_itr" localSheetId="1" hidden="1">2147483647</definedName>
    <definedName name="solver_lhs1" localSheetId="1" hidden="1">Tool!$F$14:$F$25</definedName>
    <definedName name="solver_lhs10" localSheetId="1" hidden="1">Tool!$U$27:$W$27</definedName>
    <definedName name="solver_lhs11" localSheetId="1" hidden="1">Tool!$U$27:$W$27</definedName>
    <definedName name="solver_lhs2" localSheetId="1" hidden="1">Tool!$F$14:$F$25</definedName>
    <definedName name="solver_lhs3" localSheetId="1" hidden="1">Tool!$F$27</definedName>
    <definedName name="solver_lhs4" localSheetId="1" hidden="1">Tool!$G$27</definedName>
    <definedName name="solver_lhs5" localSheetId="1" hidden="1">Tool!$G$27</definedName>
    <definedName name="solver_lhs6" localSheetId="1" hidden="1">Tool!$I$27</definedName>
    <definedName name="solver_lhs7" localSheetId="1" hidden="1">Tool!$J$27</definedName>
    <definedName name="solver_lhs8" localSheetId="1" hidden="1">Tool!$P$27:$T$27</definedName>
    <definedName name="solver_lhs9" localSheetId="1" hidden="1">Tool!$P$27:$T$27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11</definedName>
    <definedName name="solver_nwt" localSheetId="1" hidden="1">1</definedName>
    <definedName name="solver_opt" localSheetId="1" hidden="1">Tool!$AD$29</definedName>
    <definedName name="solver_pre" localSheetId="1" hidden="1">0.000001</definedName>
    <definedName name="solver_rbv" localSheetId="1" hidden="1">2</definedName>
    <definedName name="solver_rel1" localSheetId="1" hidden="1">1</definedName>
    <definedName name="solver_rel10" localSheetId="1" hidden="1">1</definedName>
    <definedName name="solver_rel11" localSheetId="1" hidden="1">3</definedName>
    <definedName name="solver_rel2" localSheetId="1" hidden="1">3</definedName>
    <definedName name="solver_rel3" localSheetId="1" hidden="1">2</definedName>
    <definedName name="solver_rel4" localSheetId="1" hidden="1">1</definedName>
    <definedName name="solver_rel5" localSheetId="1" hidden="1">3</definedName>
    <definedName name="solver_rel6" localSheetId="1" hidden="1">3</definedName>
    <definedName name="solver_rel7" localSheetId="1" hidden="1">3</definedName>
    <definedName name="solver_rel8" localSheetId="1" hidden="1">1</definedName>
    <definedName name="solver_rel9" localSheetId="1" hidden="1">3</definedName>
    <definedName name="solver_rhs1" localSheetId="1" hidden="1">Tool!$Z$14:$Z$25</definedName>
    <definedName name="solver_rhs10" localSheetId="1" hidden="1">Tool!$U$31:$W$31</definedName>
    <definedName name="solver_rhs11" localSheetId="1" hidden="1">Tool!$U$30:$W$30</definedName>
    <definedName name="solver_rhs2" localSheetId="1" hidden="1">Tool!$Y$14:$Y$25</definedName>
    <definedName name="solver_rhs3" localSheetId="1" hidden="1">100</definedName>
    <definedName name="solver_rhs4" localSheetId="1" hidden="1">Tool!$G$31</definedName>
    <definedName name="solver_rhs5" localSheetId="1" hidden="1">Tool!$G$30</definedName>
    <definedName name="solver_rhs6" localSheetId="1" hidden="1">Tool!$I$30</definedName>
    <definedName name="solver_rhs7" localSheetId="1" hidden="1">Tool!$J$30</definedName>
    <definedName name="solver_rhs8" localSheetId="1" hidden="1">Tool!$P$31:$T$31</definedName>
    <definedName name="solver_rhs9" localSheetId="1" hidden="1">Tool!$P$30:$T$30</definedName>
    <definedName name="solver_rlx" localSheetId="1" hidden="1">2</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2</definedName>
    <definedName name="solver_val" localSheetId="1" hidden="1">0</definedName>
    <definedName name="solver_ver" localSheetId="1" hidden="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21" l="1"/>
  <c r="C31" i="21"/>
  <c r="D31" i="21"/>
  <c r="B31" i="21"/>
  <c r="B23" i="21"/>
  <c r="U15" i="21"/>
  <c r="T15" i="21"/>
  <c r="S15" i="21"/>
  <c r="R15" i="21"/>
  <c r="Q15" i="21"/>
  <c r="P15" i="21"/>
  <c r="O15" i="21"/>
  <c r="N15" i="21"/>
  <c r="M15" i="21"/>
  <c r="L15" i="21"/>
  <c r="K15" i="21"/>
  <c r="J15" i="21"/>
  <c r="I15" i="21"/>
  <c r="H15" i="21"/>
  <c r="G15" i="21"/>
  <c r="E15" i="21"/>
  <c r="C15" i="21"/>
  <c r="G12" i="21"/>
  <c r="O9" i="21"/>
  <c r="R19" i="21" s="1"/>
  <c r="G4" i="21"/>
  <c r="I19" i="21" l="1"/>
  <c r="N18" i="21"/>
  <c r="M19" i="21"/>
  <c r="J18" i="21"/>
  <c r="R18" i="21"/>
  <c r="Q19" i="21"/>
  <c r="F18" i="21"/>
  <c r="E19" i="21"/>
  <c r="U19" i="21"/>
  <c r="H18" i="21"/>
  <c r="L18" i="21"/>
  <c r="L22" i="21" s="1"/>
  <c r="L24" i="21" s="1"/>
  <c r="L27" i="21" s="1"/>
  <c r="L28" i="21" s="1"/>
  <c r="P31" i="21" s="1"/>
  <c r="P18" i="21"/>
  <c r="P22" i="21" s="1"/>
  <c r="P24" i="21" s="1"/>
  <c r="P27" i="21" s="1"/>
  <c r="P28" i="21" s="1"/>
  <c r="T31" i="21" s="1"/>
  <c r="T18" i="21"/>
  <c r="G19" i="21"/>
  <c r="K19" i="21"/>
  <c r="O19" i="21"/>
  <c r="S19" i="21"/>
  <c r="E18" i="21"/>
  <c r="I18" i="21"/>
  <c r="M18" i="21"/>
  <c r="M22" i="21" s="1"/>
  <c r="M24" i="21" s="1"/>
  <c r="M27" i="21" s="1"/>
  <c r="M28" i="21" s="1"/>
  <c r="Q31" i="21" s="1"/>
  <c r="Q18" i="21"/>
  <c r="U18" i="21"/>
  <c r="U22" i="21" s="1"/>
  <c r="U24" i="21" s="1"/>
  <c r="U27" i="21" s="1"/>
  <c r="U28" i="21" s="1"/>
  <c r="Y31" i="21" s="1"/>
  <c r="H19" i="21"/>
  <c r="H22" i="21" s="1"/>
  <c r="H24" i="21" s="1"/>
  <c r="H27" i="21" s="1"/>
  <c r="H28" i="21" s="1"/>
  <c r="L31" i="21" s="1"/>
  <c r="L19" i="21"/>
  <c r="P19" i="21"/>
  <c r="T19" i="21"/>
  <c r="G18" i="21"/>
  <c r="G22" i="21" s="1"/>
  <c r="G24" i="21" s="1"/>
  <c r="G27" i="21" s="1"/>
  <c r="G28" i="21" s="1"/>
  <c r="K31" i="21" s="1"/>
  <c r="K18" i="21"/>
  <c r="K22" i="21" s="1"/>
  <c r="K24" i="21" s="1"/>
  <c r="K27" i="21" s="1"/>
  <c r="K28" i="21" s="1"/>
  <c r="O31" i="21" s="1"/>
  <c r="O18" i="21"/>
  <c r="S18" i="21"/>
  <c r="F19" i="21"/>
  <c r="F22" i="21" s="1"/>
  <c r="F24" i="21" s="1"/>
  <c r="J19" i="21"/>
  <c r="N19" i="21"/>
  <c r="O4" i="21"/>
  <c r="F31" i="21" s="1"/>
  <c r="O5" i="21"/>
  <c r="G31" i="21" s="1"/>
  <c r="O6" i="21"/>
  <c r="H31" i="21" s="1"/>
  <c r="S22" i="21"/>
  <c r="S24" i="21" s="1"/>
  <c r="S27" i="21" s="1"/>
  <c r="S28" i="21" s="1"/>
  <c r="W31" i="21" s="1"/>
  <c r="T22" i="21"/>
  <c r="T24" i="21" s="1"/>
  <c r="T27" i="21" s="1"/>
  <c r="T28" i="21" s="1"/>
  <c r="X31" i="21" s="1"/>
  <c r="I22" i="21"/>
  <c r="I24" i="21" s="1"/>
  <c r="I27" i="21" s="1"/>
  <c r="I28" i="21" s="1"/>
  <c r="M31" i="21" s="1"/>
  <c r="Q22" i="21"/>
  <c r="Q24" i="21" s="1"/>
  <c r="Q27" i="21" s="1"/>
  <c r="Q28" i="21" s="1"/>
  <c r="U31" i="21" s="1"/>
  <c r="R22" i="21"/>
  <c r="R24" i="21" s="1"/>
  <c r="R27" i="21" s="1"/>
  <c r="R28" i="21" s="1"/>
  <c r="V31" i="21" s="1"/>
  <c r="J22" i="21" l="1"/>
  <c r="J24" i="21" s="1"/>
  <c r="J27" i="21" s="1"/>
  <c r="J28" i="21" s="1"/>
  <c r="N31" i="21" s="1"/>
  <c r="N22" i="21"/>
  <c r="N24" i="21" s="1"/>
  <c r="N27" i="21" s="1"/>
  <c r="N28" i="21" s="1"/>
  <c r="R31" i="21" s="1"/>
  <c r="O22" i="21"/>
  <c r="O24" i="21" s="1"/>
  <c r="O27" i="21" s="1"/>
  <c r="O28" i="21" s="1"/>
  <c r="S31" i="21" s="1"/>
  <c r="E22" i="21"/>
  <c r="E24" i="21" s="1"/>
  <c r="E27" i="21" s="1"/>
  <c r="E28" i="21" s="1"/>
  <c r="I31" i="21" s="1"/>
  <c r="F12" i="21"/>
  <c r="F15" i="21" l="1"/>
  <c r="F27" i="21" s="1"/>
  <c r="F28" i="21" s="1"/>
  <c r="J31" i="21" s="1"/>
  <c r="G14" i="9" l="1"/>
  <c r="B10" i="15" l="1"/>
  <c r="B9" i="15"/>
  <c r="B8" i="15"/>
  <c r="B7" i="15"/>
  <c r="B6" i="15"/>
  <c r="B5" i="15"/>
  <c r="B4" i="15"/>
  <c r="G100" i="13" l="1"/>
  <c r="F100" i="13"/>
  <c r="B100" i="13"/>
  <c r="A100" i="13"/>
  <c r="G99" i="13"/>
  <c r="F99" i="13"/>
  <c r="B99" i="13"/>
  <c r="A99" i="13"/>
  <c r="G98" i="13"/>
  <c r="F98" i="13"/>
  <c r="B98" i="13"/>
  <c r="A98" i="13"/>
  <c r="G97" i="13"/>
  <c r="F97" i="13"/>
  <c r="B97" i="13"/>
  <c r="A97" i="13"/>
  <c r="G96" i="13"/>
  <c r="F96" i="13"/>
  <c r="B96" i="13"/>
  <c r="A96" i="13"/>
  <c r="G95" i="13"/>
  <c r="F95" i="13"/>
  <c r="B95" i="13"/>
  <c r="A95" i="13"/>
  <c r="G94" i="13"/>
  <c r="F94" i="13"/>
  <c r="B94" i="13"/>
  <c r="A94" i="13"/>
  <c r="G93" i="13"/>
  <c r="F93" i="13"/>
  <c r="B93" i="13"/>
  <c r="A93" i="13"/>
  <c r="G92" i="13"/>
  <c r="F92" i="13"/>
  <c r="B92" i="13"/>
  <c r="A92" i="13"/>
  <c r="G91" i="13"/>
  <c r="F91" i="13"/>
  <c r="B91" i="13"/>
  <c r="A91" i="13"/>
  <c r="G90" i="13"/>
  <c r="F90" i="13"/>
  <c r="B90" i="13"/>
  <c r="A90" i="13"/>
  <c r="G89" i="13"/>
  <c r="F89" i="13"/>
  <c r="B89" i="13"/>
  <c r="A89" i="13"/>
  <c r="G88" i="13"/>
  <c r="F88" i="13"/>
  <c r="B88" i="13"/>
  <c r="A88" i="13"/>
  <c r="G87" i="13"/>
  <c r="F87" i="13"/>
  <c r="B87" i="13"/>
  <c r="A87" i="13"/>
  <c r="G86" i="13"/>
  <c r="F86" i="13"/>
  <c r="B86" i="13"/>
  <c r="A86" i="13"/>
  <c r="G85" i="13"/>
  <c r="F85" i="13"/>
  <c r="B85" i="13"/>
  <c r="A85" i="13"/>
  <c r="G84" i="13"/>
  <c r="F84" i="13"/>
  <c r="B84" i="13"/>
  <c r="A84" i="13"/>
  <c r="G83" i="13"/>
  <c r="F83" i="13"/>
  <c r="B83" i="13"/>
  <c r="A83" i="13"/>
  <c r="G82" i="13"/>
  <c r="F82" i="13"/>
  <c r="B82" i="13"/>
  <c r="A82" i="13"/>
  <c r="G81" i="13"/>
  <c r="F81" i="13"/>
  <c r="B81" i="13"/>
  <c r="A81" i="13"/>
  <c r="G80" i="13"/>
  <c r="F80" i="13"/>
  <c r="B80" i="13"/>
  <c r="A80" i="13"/>
  <c r="G79" i="13"/>
  <c r="F79" i="13"/>
  <c r="B79" i="13"/>
  <c r="A79" i="13"/>
  <c r="G78" i="13"/>
  <c r="F78" i="13"/>
  <c r="B78" i="13"/>
  <c r="A78" i="13"/>
  <c r="G77" i="13"/>
  <c r="F77" i="13"/>
  <c r="B77" i="13"/>
  <c r="A77" i="13"/>
  <c r="G76" i="13"/>
  <c r="F76" i="13"/>
  <c r="B76" i="13"/>
  <c r="A76" i="13"/>
  <c r="G75" i="13"/>
  <c r="F75" i="13"/>
  <c r="B75" i="13"/>
  <c r="A75" i="13"/>
  <c r="G74" i="13"/>
  <c r="F74" i="13"/>
  <c r="B74" i="13"/>
  <c r="A74" i="13"/>
  <c r="G73" i="13"/>
  <c r="F73" i="13"/>
  <c r="B73" i="13"/>
  <c r="A73" i="13"/>
  <c r="G72" i="13"/>
  <c r="F72" i="13"/>
  <c r="B72" i="13"/>
  <c r="A72" i="13"/>
  <c r="G71" i="13"/>
  <c r="F71" i="13"/>
  <c r="B71" i="13"/>
  <c r="A71" i="13"/>
  <c r="G70" i="13"/>
  <c r="F70" i="13"/>
  <c r="B70" i="13"/>
  <c r="A70" i="13"/>
  <c r="G69" i="13"/>
  <c r="F69" i="13"/>
  <c r="B69" i="13"/>
  <c r="A69" i="13"/>
  <c r="G68" i="13"/>
  <c r="F68" i="13"/>
  <c r="B68" i="13"/>
  <c r="A68" i="13"/>
  <c r="G67" i="13"/>
  <c r="F67" i="13"/>
  <c r="B67" i="13"/>
  <c r="A67" i="13"/>
  <c r="G66" i="13"/>
  <c r="F66" i="13"/>
  <c r="B66" i="13"/>
  <c r="A66" i="13"/>
  <c r="G65" i="13"/>
  <c r="F65" i="13"/>
  <c r="B65" i="13"/>
  <c r="A65" i="13"/>
  <c r="G64" i="13"/>
  <c r="F64" i="13"/>
  <c r="B64" i="13"/>
  <c r="A64" i="13"/>
  <c r="G63" i="13"/>
  <c r="F63" i="13"/>
  <c r="B63" i="13"/>
  <c r="A63" i="13"/>
  <c r="G62" i="13"/>
  <c r="F62" i="13"/>
  <c r="B62" i="13"/>
  <c r="A62" i="13"/>
  <c r="G61" i="13"/>
  <c r="F61" i="13"/>
  <c r="B61" i="13"/>
  <c r="A61" i="13"/>
  <c r="G60" i="13"/>
  <c r="F60" i="13"/>
  <c r="B60" i="13"/>
  <c r="A60" i="13"/>
  <c r="G59" i="13"/>
  <c r="F59" i="13"/>
  <c r="B59" i="13"/>
  <c r="A59" i="13"/>
  <c r="G58" i="13"/>
  <c r="F58" i="13"/>
  <c r="B58" i="13"/>
  <c r="A58" i="13"/>
  <c r="G57" i="13"/>
  <c r="F57" i="13"/>
  <c r="B57" i="13"/>
  <c r="A57" i="13"/>
  <c r="G56" i="13"/>
  <c r="F56" i="13"/>
  <c r="B56" i="13"/>
  <c r="A56" i="13"/>
  <c r="G55" i="13"/>
  <c r="F55" i="13"/>
  <c r="B55" i="13"/>
  <c r="A55" i="13"/>
  <c r="G54" i="13"/>
  <c r="F54" i="13"/>
  <c r="B54" i="13"/>
  <c r="A54" i="13"/>
  <c r="G53" i="13"/>
  <c r="F53" i="13"/>
  <c r="B53" i="13"/>
  <c r="A53" i="13"/>
  <c r="G52" i="13"/>
  <c r="F52" i="13"/>
  <c r="B52" i="13"/>
  <c r="A52" i="13"/>
  <c r="G51" i="13"/>
  <c r="F51" i="13"/>
  <c r="B51" i="13"/>
  <c r="A51" i="13"/>
  <c r="G50" i="13"/>
  <c r="F50" i="13"/>
  <c r="B50" i="13"/>
  <c r="A50" i="13"/>
  <c r="G49" i="13"/>
  <c r="F49" i="13"/>
  <c r="B49" i="13"/>
  <c r="A49" i="13"/>
  <c r="G48" i="13"/>
  <c r="F48" i="13"/>
  <c r="B48" i="13"/>
  <c r="A48" i="13"/>
  <c r="G47" i="13"/>
  <c r="F47" i="13"/>
  <c r="B47" i="13"/>
  <c r="A47" i="13"/>
  <c r="G46" i="13"/>
  <c r="F46" i="13"/>
  <c r="B46" i="13"/>
  <c r="A46" i="13"/>
  <c r="G45" i="13"/>
  <c r="F45" i="13"/>
  <c r="B45" i="13"/>
  <c r="A45" i="13"/>
  <c r="G44" i="13"/>
  <c r="F44" i="13"/>
  <c r="B44" i="13"/>
  <c r="A44" i="13"/>
  <c r="G43" i="13"/>
  <c r="F43" i="13"/>
  <c r="B43" i="13"/>
  <c r="A43" i="13"/>
  <c r="H42" i="13"/>
  <c r="G42" i="13"/>
  <c r="F42" i="13"/>
  <c r="B42" i="13"/>
  <c r="A42" i="13"/>
  <c r="G41" i="13"/>
  <c r="F41" i="13"/>
  <c r="B41" i="13"/>
  <c r="A41" i="13"/>
  <c r="G40" i="13"/>
  <c r="F40" i="13"/>
  <c r="B40" i="13"/>
  <c r="A40" i="13"/>
  <c r="G39" i="13"/>
  <c r="F39" i="13"/>
  <c r="B39" i="13"/>
  <c r="A39" i="13"/>
  <c r="H38" i="13"/>
  <c r="G38" i="13"/>
  <c r="F38" i="13"/>
  <c r="B38" i="13"/>
  <c r="A38" i="13"/>
  <c r="G37" i="13"/>
  <c r="F37" i="13"/>
  <c r="B37" i="13"/>
  <c r="A37" i="13"/>
  <c r="G36" i="13"/>
  <c r="F36" i="13"/>
  <c r="B36" i="13"/>
  <c r="A36" i="13"/>
  <c r="G35" i="13"/>
  <c r="F35" i="13"/>
  <c r="B35" i="13"/>
  <c r="A35" i="13"/>
  <c r="H34" i="13"/>
  <c r="G34" i="13"/>
  <c r="F34" i="13"/>
  <c r="B34" i="13"/>
  <c r="A34" i="13"/>
  <c r="G33" i="13"/>
  <c r="F33" i="13"/>
  <c r="B33" i="13"/>
  <c r="A33" i="13"/>
  <c r="G32" i="13"/>
  <c r="F32" i="13"/>
  <c r="H98" i="13" s="1"/>
  <c r="B32" i="13"/>
  <c r="H31" i="13"/>
  <c r="G31" i="13"/>
  <c r="F31" i="13"/>
  <c r="B31" i="13"/>
  <c r="A31" i="13"/>
  <c r="H30" i="13"/>
  <c r="G30" i="13"/>
  <c r="F30" i="13"/>
  <c r="B30" i="13"/>
  <c r="A30" i="13"/>
  <c r="H29" i="13"/>
  <c r="G29" i="13"/>
  <c r="F29" i="13"/>
  <c r="B29" i="13"/>
  <c r="A29" i="13"/>
  <c r="H28" i="13"/>
  <c r="G28" i="13"/>
  <c r="F28" i="13"/>
  <c r="B28" i="13"/>
  <c r="A28" i="13"/>
  <c r="H27" i="13"/>
  <c r="G27" i="13"/>
  <c r="F27" i="13"/>
  <c r="B27" i="13"/>
  <c r="A27" i="13"/>
  <c r="H26" i="13"/>
  <c r="G26" i="13"/>
  <c r="F26" i="13"/>
  <c r="B26" i="13"/>
  <c r="A26" i="13"/>
  <c r="H25" i="13"/>
  <c r="G25" i="13"/>
  <c r="F25" i="13"/>
  <c r="B25" i="13"/>
  <c r="A25" i="13"/>
  <c r="H24" i="13"/>
  <c r="G24" i="13"/>
  <c r="F24" i="13"/>
  <c r="B24" i="13"/>
  <c r="A24" i="13"/>
  <c r="H23" i="13"/>
  <c r="G23" i="13"/>
  <c r="F23" i="13"/>
  <c r="B23" i="13"/>
  <c r="A23" i="13"/>
  <c r="H22" i="13"/>
  <c r="G22" i="13"/>
  <c r="F22" i="13"/>
  <c r="B22" i="13"/>
  <c r="A22" i="13"/>
  <c r="H21" i="13"/>
  <c r="G21" i="13"/>
  <c r="F21" i="13"/>
  <c r="B21" i="13"/>
  <c r="A21" i="13"/>
  <c r="H20" i="13"/>
  <c r="G20" i="13"/>
  <c r="F20" i="13"/>
  <c r="B20" i="13"/>
  <c r="A20" i="13"/>
  <c r="H19" i="13"/>
  <c r="G19" i="13"/>
  <c r="F19" i="13"/>
  <c r="B19" i="13"/>
  <c r="H18" i="13"/>
  <c r="G18" i="13"/>
  <c r="F18" i="13"/>
  <c r="B18" i="13"/>
  <c r="H17" i="13"/>
  <c r="G17" i="13"/>
  <c r="F17" i="13"/>
  <c r="B17" i="13"/>
  <c r="H16" i="13"/>
  <c r="G16" i="13"/>
  <c r="F16" i="13"/>
  <c r="B16" i="13"/>
  <c r="H15" i="13"/>
  <c r="G15" i="13"/>
  <c r="F15" i="13"/>
  <c r="B15" i="13"/>
  <c r="H14" i="13"/>
  <c r="G14" i="13"/>
  <c r="F14" i="13"/>
  <c r="B14" i="13"/>
  <c r="H13" i="13"/>
  <c r="G13" i="13"/>
  <c r="F13" i="13"/>
  <c r="B13" i="13"/>
  <c r="H12" i="13"/>
  <c r="G12" i="13"/>
  <c r="F12" i="13"/>
  <c r="B12" i="13"/>
  <c r="H11" i="13"/>
  <c r="G11" i="13"/>
  <c r="F11" i="13"/>
  <c r="B11" i="13"/>
  <c r="H10" i="13"/>
  <c r="G10" i="13"/>
  <c r="F10" i="13"/>
  <c r="B10" i="13"/>
  <c r="H9" i="13"/>
  <c r="G9" i="13"/>
  <c r="F9" i="13"/>
  <c r="B9" i="13"/>
  <c r="H8" i="13"/>
  <c r="G8" i="13"/>
  <c r="F8" i="13"/>
  <c r="B8" i="13"/>
  <c r="H7" i="13"/>
  <c r="G7" i="13"/>
  <c r="F7" i="13"/>
  <c r="B7" i="13"/>
  <c r="H6" i="13"/>
  <c r="G6" i="13"/>
  <c r="F6" i="13"/>
  <c r="B6" i="13"/>
  <c r="H5" i="13"/>
  <c r="G5" i="13"/>
  <c r="F5" i="13"/>
  <c r="B5" i="13"/>
  <c r="H4" i="13"/>
  <c r="G4" i="13"/>
  <c r="F4" i="13"/>
  <c r="B4" i="13"/>
  <c r="H3" i="13"/>
  <c r="G3" i="13"/>
  <c r="F3" i="13"/>
  <c r="B3" i="13"/>
  <c r="H2" i="13"/>
  <c r="G2" i="13"/>
  <c r="F2" i="13"/>
  <c r="B2" i="13"/>
  <c r="B29" i="15"/>
  <c r="A29" i="15"/>
  <c r="E29" i="15" s="1"/>
  <c r="F29" i="15" s="1"/>
  <c r="B28" i="15"/>
  <c r="A28" i="15"/>
  <c r="E28" i="15" s="1"/>
  <c r="F28" i="15" s="1"/>
  <c r="B27" i="15"/>
  <c r="A27" i="15"/>
  <c r="E27" i="15" s="1"/>
  <c r="F27" i="15" s="1"/>
  <c r="B26" i="15"/>
  <c r="A26" i="15"/>
  <c r="B25" i="15"/>
  <c r="A25" i="15"/>
  <c r="E25" i="15" s="1"/>
  <c r="F25" i="15" s="1"/>
  <c r="B24" i="15"/>
  <c r="A24" i="15"/>
  <c r="E24" i="15" s="1"/>
  <c r="F24" i="15" s="1"/>
  <c r="B23" i="15"/>
  <c r="A23" i="15"/>
  <c r="E23" i="15" s="1"/>
  <c r="F23" i="15" s="1"/>
  <c r="B22" i="15"/>
  <c r="A22" i="15"/>
  <c r="E22" i="15" s="1"/>
  <c r="F22" i="15" s="1"/>
  <c r="B21" i="15"/>
  <c r="A21" i="15"/>
  <c r="E21" i="15" s="1"/>
  <c r="F21" i="15" s="1"/>
  <c r="B20" i="15"/>
  <c r="A20" i="15"/>
  <c r="E20" i="15" s="1"/>
  <c r="F20" i="15" s="1"/>
  <c r="B19" i="15"/>
  <c r="A19" i="15"/>
  <c r="E19" i="15" s="1"/>
  <c r="F19" i="15" s="1"/>
  <c r="B18" i="15"/>
  <c r="A18" i="15"/>
  <c r="B15" i="15"/>
  <c r="B13" i="15"/>
  <c r="A10" i="15"/>
  <c r="A9" i="15"/>
  <c r="A8" i="15"/>
  <c r="A7" i="15"/>
  <c r="A6" i="15"/>
  <c r="A5" i="15"/>
  <c r="A4" i="15"/>
  <c r="A1" i="15"/>
  <c r="B150" i="10"/>
  <c r="A150" i="10"/>
  <c r="B149" i="10"/>
  <c r="A149" i="10"/>
  <c r="B148" i="10"/>
  <c r="A148" i="10"/>
  <c r="B147" i="10"/>
  <c r="A147" i="10"/>
  <c r="B146" i="10"/>
  <c r="A146" i="10"/>
  <c r="B145" i="10"/>
  <c r="A145" i="10"/>
  <c r="B144" i="10"/>
  <c r="A144" i="10"/>
  <c r="B143" i="10"/>
  <c r="A143" i="10"/>
  <c r="B142" i="10"/>
  <c r="A142" i="10"/>
  <c r="B141" i="10"/>
  <c r="A141" i="10"/>
  <c r="B140" i="10"/>
  <c r="A140" i="10"/>
  <c r="B139" i="10"/>
  <c r="A139" i="10"/>
  <c r="B138" i="10"/>
  <c r="A138" i="10"/>
  <c r="B137" i="10"/>
  <c r="A137" i="10"/>
  <c r="B136" i="10"/>
  <c r="A136" i="10"/>
  <c r="B135" i="10"/>
  <c r="A135" i="10"/>
  <c r="B134" i="10"/>
  <c r="A134" i="10"/>
  <c r="B133" i="10"/>
  <c r="A133" i="10"/>
  <c r="B132" i="10"/>
  <c r="A132" i="10"/>
  <c r="B131" i="10"/>
  <c r="A131" i="10"/>
  <c r="B130" i="10"/>
  <c r="A130" i="10"/>
  <c r="B129" i="10"/>
  <c r="A129" i="10"/>
  <c r="B128" i="10"/>
  <c r="A128" i="10"/>
  <c r="B127" i="10"/>
  <c r="A127" i="10"/>
  <c r="B126" i="10"/>
  <c r="A126" i="10"/>
  <c r="B125" i="10"/>
  <c r="A125" i="10"/>
  <c r="B124" i="10"/>
  <c r="A124" i="10"/>
  <c r="B123" i="10"/>
  <c r="A123" i="10"/>
  <c r="B122" i="10"/>
  <c r="A122" i="10"/>
  <c r="B121" i="10"/>
  <c r="A121" i="10"/>
  <c r="B120" i="10"/>
  <c r="A120" i="10"/>
  <c r="B119" i="10"/>
  <c r="A119" i="10"/>
  <c r="B118" i="10"/>
  <c r="A118" i="10"/>
  <c r="B117" i="10"/>
  <c r="A117" i="10"/>
  <c r="B116" i="10"/>
  <c r="A116" i="10"/>
  <c r="B115" i="10"/>
  <c r="A115" i="10"/>
  <c r="B114" i="10"/>
  <c r="A114" i="10"/>
  <c r="B113" i="10"/>
  <c r="A113" i="10"/>
  <c r="B112" i="10"/>
  <c r="A112" i="10"/>
  <c r="B111" i="10"/>
  <c r="A111" i="10"/>
  <c r="B110" i="10"/>
  <c r="A110" i="10"/>
  <c r="B109" i="10"/>
  <c r="A109" i="10"/>
  <c r="B108" i="10"/>
  <c r="A108" i="10"/>
  <c r="B107" i="10"/>
  <c r="A107" i="10"/>
  <c r="B106" i="10"/>
  <c r="A106" i="10"/>
  <c r="B105" i="10"/>
  <c r="A105" i="10"/>
  <c r="B104" i="10"/>
  <c r="A104" i="10"/>
  <c r="B103" i="10"/>
  <c r="A103" i="10"/>
  <c r="B102" i="10"/>
  <c r="A102" i="10"/>
  <c r="B101" i="10"/>
  <c r="A101" i="10"/>
  <c r="B100" i="10"/>
  <c r="A100" i="10"/>
  <c r="B99" i="10"/>
  <c r="A99" i="10"/>
  <c r="B98" i="10"/>
  <c r="A98" i="10"/>
  <c r="B97" i="10"/>
  <c r="A97" i="10"/>
  <c r="B96" i="10"/>
  <c r="A96" i="10"/>
  <c r="B95" i="10"/>
  <c r="A95" i="10"/>
  <c r="B94" i="10"/>
  <c r="A94" i="10"/>
  <c r="B93" i="10"/>
  <c r="A93" i="10"/>
  <c r="B92" i="10"/>
  <c r="A92" i="10"/>
  <c r="B91" i="10"/>
  <c r="A91" i="10"/>
  <c r="B90" i="10"/>
  <c r="A90" i="10"/>
  <c r="B89" i="10"/>
  <c r="A89" i="10"/>
  <c r="B88" i="10"/>
  <c r="A88" i="10"/>
  <c r="B87" i="10"/>
  <c r="A87" i="10"/>
  <c r="B86" i="10"/>
  <c r="A86" i="10"/>
  <c r="B85" i="10"/>
  <c r="A85" i="10"/>
  <c r="B84" i="10"/>
  <c r="A84" i="10"/>
  <c r="B83" i="10"/>
  <c r="A83" i="10"/>
  <c r="B82" i="10"/>
  <c r="A82" i="10"/>
  <c r="B81" i="10"/>
  <c r="A81" i="10"/>
  <c r="B80" i="10"/>
  <c r="A80" i="10"/>
  <c r="B79" i="10"/>
  <c r="A79" i="10"/>
  <c r="B78" i="10"/>
  <c r="A78" i="10"/>
  <c r="B77" i="10"/>
  <c r="A77" i="10"/>
  <c r="B76" i="10"/>
  <c r="A76" i="10"/>
  <c r="B75" i="10"/>
  <c r="A75" i="10"/>
  <c r="B74" i="10"/>
  <c r="A74" i="10"/>
  <c r="B73" i="10"/>
  <c r="A73" i="10"/>
  <c r="B72" i="10"/>
  <c r="A72" i="10"/>
  <c r="B71" i="10"/>
  <c r="A71" i="10"/>
  <c r="B70" i="10"/>
  <c r="A70" i="10"/>
  <c r="B69" i="10"/>
  <c r="A69" i="10"/>
  <c r="B68" i="10"/>
  <c r="A68" i="10"/>
  <c r="B67" i="10"/>
  <c r="A67" i="10"/>
  <c r="B66" i="10"/>
  <c r="A66" i="10"/>
  <c r="B65" i="10"/>
  <c r="A65" i="10"/>
  <c r="B64" i="10"/>
  <c r="A64" i="10"/>
  <c r="B63" i="10"/>
  <c r="A63" i="10"/>
  <c r="B62" i="10"/>
  <c r="A62" i="10"/>
  <c r="B61" i="10"/>
  <c r="A61" i="10"/>
  <c r="B60" i="10"/>
  <c r="A60" i="10"/>
  <c r="B59" i="10"/>
  <c r="A59" i="10"/>
  <c r="B58" i="10"/>
  <c r="A58" i="10"/>
  <c r="B57" i="10"/>
  <c r="A57" i="10"/>
  <c r="B56" i="10"/>
  <c r="A56" i="10"/>
  <c r="B55" i="10"/>
  <c r="A55" i="10"/>
  <c r="B54" i="10"/>
  <c r="A54" i="10"/>
  <c r="B53" i="10"/>
  <c r="A53" i="10"/>
  <c r="B52" i="10"/>
  <c r="A52" i="10"/>
  <c r="B51" i="10"/>
  <c r="A51" i="10"/>
  <c r="B50" i="10"/>
  <c r="A50" i="10"/>
  <c r="B49" i="10"/>
  <c r="A49" i="10"/>
  <c r="B48" i="10"/>
  <c r="A48" i="10"/>
  <c r="B47" i="10"/>
  <c r="A47" i="10"/>
  <c r="B46" i="10"/>
  <c r="A46" i="10"/>
  <c r="B45" i="10"/>
  <c r="A45" i="10"/>
  <c r="B44" i="10"/>
  <c r="A44" i="10"/>
  <c r="B43" i="10"/>
  <c r="A43" i="10"/>
  <c r="B42" i="10"/>
  <c r="A42" i="10"/>
  <c r="B41" i="10"/>
  <c r="A41" i="10"/>
  <c r="B40" i="10"/>
  <c r="A40" i="10"/>
  <c r="B39" i="10"/>
  <c r="A39" i="10"/>
  <c r="B38" i="10"/>
  <c r="A38" i="10"/>
  <c r="B37" i="10"/>
  <c r="A37" i="10"/>
  <c r="B36" i="10"/>
  <c r="A36" i="10"/>
  <c r="B35" i="10"/>
  <c r="A35" i="10"/>
  <c r="B34" i="10"/>
  <c r="A34" i="10"/>
  <c r="B33" i="10"/>
  <c r="A33" i="10"/>
  <c r="B32" i="10"/>
  <c r="A32" i="13" s="1"/>
  <c r="A32" i="10"/>
  <c r="B31" i="10"/>
  <c r="A31" i="10"/>
  <c r="B30" i="10"/>
  <c r="A30" i="10"/>
  <c r="B29" i="10"/>
  <c r="A29" i="10"/>
  <c r="B28" i="10"/>
  <c r="A28" i="10"/>
  <c r="B27" i="10"/>
  <c r="A27" i="10"/>
  <c r="B26" i="10"/>
  <c r="B25" i="10"/>
  <c r="A25" i="10"/>
  <c r="B24" i="10"/>
  <c r="A24" i="10"/>
  <c r="B23" i="10"/>
  <c r="A23" i="10"/>
  <c r="B22" i="10"/>
  <c r="A22" i="10"/>
  <c r="B21" i="10"/>
  <c r="A21" i="10"/>
  <c r="B20" i="10"/>
  <c r="A20" i="10"/>
  <c r="B19" i="10"/>
  <c r="A19" i="13" s="1"/>
  <c r="A19" i="10"/>
  <c r="B18" i="10"/>
  <c r="A18" i="13" s="1"/>
  <c r="A18" i="10"/>
  <c r="B17" i="10"/>
  <c r="A17" i="13" s="1"/>
  <c r="A17" i="10"/>
  <c r="B16" i="10"/>
  <c r="A16" i="13" s="1"/>
  <c r="A16" i="10"/>
  <c r="B15" i="10"/>
  <c r="A15" i="13" s="1"/>
  <c r="A15" i="10"/>
  <c r="B14" i="10"/>
  <c r="A14" i="13" s="1"/>
  <c r="A14" i="10"/>
  <c r="B13" i="10"/>
  <c r="A13" i="13" s="1"/>
  <c r="A13" i="10"/>
  <c r="B12" i="10"/>
  <c r="A12" i="13" s="1"/>
  <c r="A12" i="10"/>
  <c r="B11" i="10"/>
  <c r="A11" i="13" s="1"/>
  <c r="A11" i="10"/>
  <c r="B10" i="10"/>
  <c r="A10" i="13" s="1"/>
  <c r="A10" i="10"/>
  <c r="B9" i="10"/>
  <c r="A9" i="13" s="1"/>
  <c r="A9" i="10"/>
  <c r="B8" i="10"/>
  <c r="A8" i="13" s="1"/>
  <c r="A8" i="10"/>
  <c r="B7" i="10"/>
  <c r="A7" i="13" s="1"/>
  <c r="A7" i="10"/>
  <c r="B6" i="10"/>
  <c r="A6" i="13" s="1"/>
  <c r="A6" i="10"/>
  <c r="B5" i="10"/>
  <c r="A5" i="13" s="1"/>
  <c r="A5" i="10"/>
  <c r="B4" i="10"/>
  <c r="A4" i="13" s="1"/>
  <c r="A4" i="10"/>
  <c r="B3" i="10"/>
  <c r="A3" i="13" s="1"/>
  <c r="A3" i="10"/>
  <c r="B2" i="10"/>
  <c r="A2" i="13" s="1"/>
  <c r="A2" i="10"/>
  <c r="AD29" i="9"/>
  <c r="B32" i="15" s="1"/>
  <c r="C32" i="15" s="1"/>
  <c r="F27" i="9"/>
  <c r="AO25" i="9"/>
  <c r="AN25" i="9"/>
  <c r="AM25" i="9"/>
  <c r="AL25" i="9"/>
  <c r="AK25" i="9"/>
  <c r="AJ25" i="9"/>
  <c r="AI25" i="9"/>
  <c r="AH25" i="9"/>
  <c r="AG25" i="9"/>
  <c r="W25" i="9"/>
  <c r="V25" i="9"/>
  <c r="U25" i="9"/>
  <c r="T25" i="9"/>
  <c r="S25" i="9"/>
  <c r="R25" i="9"/>
  <c r="Q25" i="9"/>
  <c r="P25" i="9"/>
  <c r="O25" i="9"/>
  <c r="N25" i="9"/>
  <c r="M25" i="9"/>
  <c r="L25" i="9"/>
  <c r="K25" i="9"/>
  <c r="J25" i="9"/>
  <c r="I25" i="9"/>
  <c r="H25" i="9"/>
  <c r="G25" i="9"/>
  <c r="E25" i="9"/>
  <c r="AD25" i="9" s="1"/>
  <c r="AO24" i="9"/>
  <c r="AN24" i="9"/>
  <c r="AM24" i="9"/>
  <c r="AL24" i="9"/>
  <c r="AK24" i="9"/>
  <c r="AJ24" i="9"/>
  <c r="AI24" i="9"/>
  <c r="AH24" i="9"/>
  <c r="AG24" i="9"/>
  <c r="W24" i="9"/>
  <c r="V24" i="9"/>
  <c r="U24" i="9"/>
  <c r="T24" i="9"/>
  <c r="S24" i="9"/>
  <c r="R24" i="9"/>
  <c r="Q24" i="9"/>
  <c r="P24" i="9"/>
  <c r="O24" i="9"/>
  <c r="N24" i="9"/>
  <c r="M24" i="9"/>
  <c r="L24" i="9"/>
  <c r="K24" i="9"/>
  <c r="J24" i="9"/>
  <c r="I24" i="9"/>
  <c r="H24" i="9"/>
  <c r="G24" i="9"/>
  <c r="E24" i="9"/>
  <c r="AD24" i="9" s="1"/>
  <c r="AO23" i="9"/>
  <c r="AN23" i="9"/>
  <c r="AM23" i="9"/>
  <c r="AL23" i="9"/>
  <c r="AK23" i="9"/>
  <c r="AJ23" i="9"/>
  <c r="AI23" i="9"/>
  <c r="AH23" i="9"/>
  <c r="AG23" i="9"/>
  <c r="W23" i="9"/>
  <c r="V23" i="9"/>
  <c r="U23" i="9"/>
  <c r="T23" i="9"/>
  <c r="S23" i="9"/>
  <c r="R23" i="9"/>
  <c r="Q23" i="9"/>
  <c r="P23" i="9"/>
  <c r="O23" i="9"/>
  <c r="N23" i="9"/>
  <c r="M23" i="9"/>
  <c r="L23" i="9"/>
  <c r="K23" i="9"/>
  <c r="J23" i="9"/>
  <c r="I23" i="9"/>
  <c r="H23" i="9"/>
  <c r="G23" i="9"/>
  <c r="E23" i="9"/>
  <c r="AD23" i="9" s="1"/>
  <c r="AO22" i="9"/>
  <c r="AN22" i="9"/>
  <c r="AM22" i="9"/>
  <c r="AL22" i="9"/>
  <c r="AK22" i="9"/>
  <c r="AJ22" i="9"/>
  <c r="AI22" i="9"/>
  <c r="AH22" i="9"/>
  <c r="AG22" i="9"/>
  <c r="W22" i="9"/>
  <c r="V22" i="9"/>
  <c r="U22" i="9"/>
  <c r="T22" i="9"/>
  <c r="S22" i="9"/>
  <c r="R22" i="9"/>
  <c r="Q22" i="9"/>
  <c r="P22" i="9"/>
  <c r="O22" i="9"/>
  <c r="N22" i="9"/>
  <c r="M22" i="9"/>
  <c r="L22" i="9"/>
  <c r="K22" i="9"/>
  <c r="J22" i="9"/>
  <c r="I22" i="9"/>
  <c r="H22" i="9"/>
  <c r="G22" i="9"/>
  <c r="E22" i="9"/>
  <c r="C26" i="15" s="1"/>
  <c r="AO21" i="9"/>
  <c r="AN21" i="9"/>
  <c r="AM21" i="9"/>
  <c r="AL21" i="9"/>
  <c r="AK21" i="9"/>
  <c r="AJ21" i="9"/>
  <c r="AI21" i="9"/>
  <c r="AH21" i="9"/>
  <c r="AG21" i="9"/>
  <c r="W21" i="9"/>
  <c r="V21" i="9"/>
  <c r="U21" i="9"/>
  <c r="T21" i="9"/>
  <c r="S21" i="9"/>
  <c r="R21" i="9"/>
  <c r="Q21" i="9"/>
  <c r="P21" i="9"/>
  <c r="O21" i="9"/>
  <c r="N21" i="9"/>
  <c r="M21" i="9"/>
  <c r="L21" i="9"/>
  <c r="K21" i="9"/>
  <c r="J21" i="9"/>
  <c r="I21" i="9"/>
  <c r="H21" i="9"/>
  <c r="G21" i="9"/>
  <c r="E21" i="9"/>
  <c r="AD21" i="9" s="1"/>
  <c r="AO20" i="9"/>
  <c r="AN20" i="9"/>
  <c r="AM20" i="9"/>
  <c r="AL20" i="9"/>
  <c r="AK20" i="9"/>
  <c r="AJ20" i="9"/>
  <c r="AI20" i="9"/>
  <c r="AH20" i="9"/>
  <c r="AG20" i="9"/>
  <c r="W20" i="9"/>
  <c r="V20" i="9"/>
  <c r="U20" i="9"/>
  <c r="T20" i="9"/>
  <c r="S20" i="9"/>
  <c r="R20" i="9"/>
  <c r="Q20" i="9"/>
  <c r="P20" i="9"/>
  <c r="O20" i="9"/>
  <c r="N20" i="9"/>
  <c r="M20" i="9"/>
  <c r="L20" i="9"/>
  <c r="K20" i="9"/>
  <c r="J20" i="9"/>
  <c r="I20" i="9"/>
  <c r="H20" i="9"/>
  <c r="G20" i="9"/>
  <c r="E20" i="9"/>
  <c r="AD20" i="9" s="1"/>
  <c r="AO19" i="9"/>
  <c r="AN19" i="9"/>
  <c r="AM19" i="9"/>
  <c r="AL19" i="9"/>
  <c r="AK19" i="9"/>
  <c r="AJ19" i="9"/>
  <c r="AI19" i="9"/>
  <c r="AH19" i="9"/>
  <c r="AG19" i="9"/>
  <c r="W19" i="9"/>
  <c r="V19" i="9"/>
  <c r="U19" i="9"/>
  <c r="T19" i="9"/>
  <c r="S19" i="9"/>
  <c r="R19" i="9"/>
  <c r="Q19" i="9"/>
  <c r="P19" i="9"/>
  <c r="O19" i="9"/>
  <c r="N19" i="9"/>
  <c r="M19" i="9"/>
  <c r="L19" i="9"/>
  <c r="K19" i="9"/>
  <c r="J19" i="9"/>
  <c r="I19" i="9"/>
  <c r="H19" i="9"/>
  <c r="G19" i="9"/>
  <c r="E19" i="9"/>
  <c r="AD19" i="9" s="1"/>
  <c r="AO18" i="9"/>
  <c r="AN18" i="9"/>
  <c r="AM18" i="9"/>
  <c r="AL18" i="9"/>
  <c r="AK18" i="9"/>
  <c r="AJ18" i="9"/>
  <c r="AI18" i="9"/>
  <c r="AH18" i="9"/>
  <c r="AG18" i="9"/>
  <c r="W18" i="9"/>
  <c r="V18" i="9"/>
  <c r="U18" i="9"/>
  <c r="T18" i="9"/>
  <c r="S18" i="9"/>
  <c r="R18" i="9"/>
  <c r="Q18" i="9"/>
  <c r="P18" i="9"/>
  <c r="O18" i="9"/>
  <c r="N18" i="9"/>
  <c r="M18" i="9"/>
  <c r="L18" i="9"/>
  <c r="K18" i="9"/>
  <c r="J18" i="9"/>
  <c r="I18" i="9"/>
  <c r="H18" i="9"/>
  <c r="G18" i="9"/>
  <c r="E18" i="9"/>
  <c r="C22" i="15" s="1"/>
  <c r="AO17" i="9"/>
  <c r="AN17" i="9"/>
  <c r="AM17" i="9"/>
  <c r="AL17" i="9"/>
  <c r="AK17" i="9"/>
  <c r="AJ17" i="9"/>
  <c r="AI17" i="9"/>
  <c r="AH17" i="9"/>
  <c r="AG17" i="9"/>
  <c r="W17" i="9"/>
  <c r="V17" i="9"/>
  <c r="U17" i="9"/>
  <c r="T17" i="9"/>
  <c r="S17" i="9"/>
  <c r="R17" i="9"/>
  <c r="Q17" i="9"/>
  <c r="P17" i="9"/>
  <c r="O17" i="9"/>
  <c r="N17" i="9"/>
  <c r="M17" i="9"/>
  <c r="L17" i="9"/>
  <c r="K17" i="9"/>
  <c r="J17" i="9"/>
  <c r="I17" i="9"/>
  <c r="H17" i="9"/>
  <c r="G17" i="9"/>
  <c r="E17" i="9"/>
  <c r="AD17" i="9" s="1"/>
  <c r="AO16" i="9"/>
  <c r="AN16" i="9"/>
  <c r="AM16" i="9"/>
  <c r="AL16" i="9"/>
  <c r="AK16" i="9"/>
  <c r="AJ16" i="9"/>
  <c r="AI16" i="9"/>
  <c r="AH16" i="9"/>
  <c r="AG16" i="9"/>
  <c r="W16" i="9"/>
  <c r="V16" i="9"/>
  <c r="U16" i="9"/>
  <c r="T16" i="9"/>
  <c r="S16" i="9"/>
  <c r="R16" i="9"/>
  <c r="Q16" i="9"/>
  <c r="P16" i="9"/>
  <c r="O16" i="9"/>
  <c r="N16" i="9"/>
  <c r="M16" i="9"/>
  <c r="L16" i="9"/>
  <c r="K16" i="9"/>
  <c r="J16" i="9"/>
  <c r="I16" i="9"/>
  <c r="H16" i="9"/>
  <c r="G16" i="9"/>
  <c r="E16" i="9"/>
  <c r="AD16" i="9" s="1"/>
  <c r="AO15" i="9"/>
  <c r="AN15" i="9"/>
  <c r="AM15" i="9"/>
  <c r="AL15" i="9"/>
  <c r="AK15" i="9"/>
  <c r="AJ15" i="9"/>
  <c r="AI15" i="9"/>
  <c r="AH15" i="9"/>
  <c r="AG15" i="9"/>
  <c r="W15" i="9"/>
  <c r="V15" i="9"/>
  <c r="U15" i="9"/>
  <c r="T15" i="9"/>
  <c r="S15" i="9"/>
  <c r="R15" i="9"/>
  <c r="Q15" i="9"/>
  <c r="P15" i="9"/>
  <c r="O15" i="9"/>
  <c r="N15" i="9"/>
  <c r="M15" i="9"/>
  <c r="L15" i="9"/>
  <c r="K15" i="9"/>
  <c r="J15" i="9"/>
  <c r="I15" i="9"/>
  <c r="H15" i="9"/>
  <c r="G15" i="9"/>
  <c r="E15" i="9"/>
  <c r="AD15" i="9" s="1"/>
  <c r="AO14" i="9"/>
  <c r="AN14" i="9"/>
  <c r="AM14" i="9"/>
  <c r="AL14" i="9"/>
  <c r="AK14" i="9"/>
  <c r="AJ14" i="9"/>
  <c r="AI14" i="9"/>
  <c r="AH14" i="9"/>
  <c r="AG14" i="9"/>
  <c r="W14" i="9"/>
  <c r="V14" i="9"/>
  <c r="U14" i="9"/>
  <c r="T14" i="9"/>
  <c r="S14" i="9"/>
  <c r="R14" i="9"/>
  <c r="Q14" i="9"/>
  <c r="P14" i="9"/>
  <c r="O14" i="9"/>
  <c r="N14" i="9"/>
  <c r="M14" i="9"/>
  <c r="L14" i="9"/>
  <c r="K14" i="9"/>
  <c r="J14" i="9"/>
  <c r="I14" i="9"/>
  <c r="H14" i="9"/>
  <c r="E14" i="9"/>
  <c r="C18" i="15" s="1"/>
  <c r="L12" i="9"/>
  <c r="H5" i="9"/>
  <c r="H50" i="13" l="1"/>
  <c r="T31" i="9"/>
  <c r="F50" i="15" s="1"/>
  <c r="H33" i="13"/>
  <c r="H37" i="13"/>
  <c r="H41" i="13"/>
  <c r="H45" i="13"/>
  <c r="H49" i="13"/>
  <c r="H53" i="13"/>
  <c r="H57" i="13"/>
  <c r="H61" i="13"/>
  <c r="H65" i="13"/>
  <c r="H69" i="13"/>
  <c r="H73" i="13"/>
  <c r="H77" i="13"/>
  <c r="H81" i="13"/>
  <c r="H85" i="13"/>
  <c r="H89" i="13"/>
  <c r="H93" i="13"/>
  <c r="H97" i="13"/>
  <c r="H32" i="13"/>
  <c r="H36" i="13"/>
  <c r="H40" i="13"/>
  <c r="H44" i="13"/>
  <c r="H48" i="13"/>
  <c r="H52" i="13"/>
  <c r="H56" i="13"/>
  <c r="H60" i="13"/>
  <c r="H64" i="13"/>
  <c r="H68" i="13"/>
  <c r="H72" i="13"/>
  <c r="H76" i="13"/>
  <c r="H80" i="13"/>
  <c r="H84" i="13"/>
  <c r="H88" i="13"/>
  <c r="H92" i="13"/>
  <c r="H96" i="13"/>
  <c r="H100" i="13"/>
  <c r="H35" i="13"/>
  <c r="H39" i="13"/>
  <c r="H43" i="13"/>
  <c r="H47" i="13"/>
  <c r="H51" i="13"/>
  <c r="H55" i="13"/>
  <c r="H59" i="13"/>
  <c r="H63" i="13"/>
  <c r="H67" i="13"/>
  <c r="H71" i="13"/>
  <c r="H75" i="13"/>
  <c r="H79" i="13"/>
  <c r="H83" i="13"/>
  <c r="H87" i="13"/>
  <c r="H91" i="13"/>
  <c r="H95" i="13"/>
  <c r="H99" i="13"/>
  <c r="H46" i="13"/>
  <c r="H54" i="13"/>
  <c r="H58" i="13"/>
  <c r="H62" i="13"/>
  <c r="H66" i="13"/>
  <c r="H70" i="13"/>
  <c r="H74" i="13"/>
  <c r="H78" i="13"/>
  <c r="H82" i="13"/>
  <c r="H86" i="13"/>
  <c r="H90" i="13"/>
  <c r="H94" i="13"/>
  <c r="AE15" i="9"/>
  <c r="AE17" i="9"/>
  <c r="AE19" i="9"/>
  <c r="D23" i="15" s="1"/>
  <c r="AE21" i="9"/>
  <c r="D25" i="15" s="1"/>
  <c r="AE25" i="9"/>
  <c r="D29" i="15" s="1"/>
  <c r="AE14" i="9"/>
  <c r="D18" i="15" s="1"/>
  <c r="AE16" i="9"/>
  <c r="AE18" i="9"/>
  <c r="AE24" i="9"/>
  <c r="AE22" i="9"/>
  <c r="AE20" i="9"/>
  <c r="D24" i="15" s="1"/>
  <c r="E18" i="15"/>
  <c r="F18" i="15" s="1"/>
  <c r="B31" i="15"/>
  <c r="AE23" i="9"/>
  <c r="D27" i="15" s="1"/>
  <c r="C95" i="13"/>
  <c r="C87" i="13"/>
  <c r="C79" i="13"/>
  <c r="C71" i="13"/>
  <c r="C63" i="13"/>
  <c r="C55" i="13"/>
  <c r="C47" i="13"/>
  <c r="C39" i="13"/>
  <c r="C31" i="13"/>
  <c r="C23" i="13"/>
  <c r="C15" i="13"/>
  <c r="C3" i="13"/>
  <c r="C28" i="13"/>
  <c r="C4" i="13"/>
  <c r="C99" i="13"/>
  <c r="C91" i="13"/>
  <c r="C83" i="13"/>
  <c r="C75" i="13"/>
  <c r="C67" i="13"/>
  <c r="C59" i="13"/>
  <c r="C51" i="13"/>
  <c r="C43" i="13"/>
  <c r="C35" i="13"/>
  <c r="C27" i="13"/>
  <c r="C19" i="13"/>
  <c r="C11" i="13"/>
  <c r="C7" i="13"/>
  <c r="C16" i="13"/>
  <c r="C94" i="13"/>
  <c r="C90" i="13"/>
  <c r="C82" i="13"/>
  <c r="C74" i="13"/>
  <c r="C66" i="13"/>
  <c r="C58" i="13"/>
  <c r="C50" i="13"/>
  <c r="C42" i="13"/>
  <c r="C34" i="13"/>
  <c r="C26" i="13"/>
  <c r="C18" i="13"/>
  <c r="C10" i="13"/>
  <c r="C2" i="13"/>
  <c r="C98" i="13"/>
  <c r="C86" i="13"/>
  <c r="C78" i="13"/>
  <c r="C70" i="13"/>
  <c r="C62" i="13"/>
  <c r="C54" i="13"/>
  <c r="C46" i="13"/>
  <c r="C38" i="13"/>
  <c r="C30" i="13"/>
  <c r="C22" i="13"/>
  <c r="C14" i="13"/>
  <c r="C6" i="13"/>
  <c r="C8" i="13"/>
  <c r="C93" i="13"/>
  <c r="C89" i="13"/>
  <c r="C77" i="13"/>
  <c r="C69" i="13"/>
  <c r="C61" i="13"/>
  <c r="C53" i="13"/>
  <c r="C45" i="13"/>
  <c r="C37" i="13"/>
  <c r="C29" i="13"/>
  <c r="C17" i="13"/>
  <c r="C13" i="13"/>
  <c r="C5" i="13"/>
  <c r="C20" i="13"/>
  <c r="C97" i="13"/>
  <c r="C85" i="13"/>
  <c r="C81" i="13"/>
  <c r="C73" i="13"/>
  <c r="C65" i="13"/>
  <c r="C57" i="13"/>
  <c r="C49" i="13"/>
  <c r="C41" i="13"/>
  <c r="C33" i="13"/>
  <c r="C25" i="13"/>
  <c r="C21" i="13"/>
  <c r="C9" i="13"/>
  <c r="C12" i="13"/>
  <c r="C96" i="13"/>
  <c r="C92" i="13"/>
  <c r="C88" i="13"/>
  <c r="C84" i="13"/>
  <c r="C80" i="13"/>
  <c r="C76" i="13"/>
  <c r="C72" i="13"/>
  <c r="C68" i="13"/>
  <c r="C64" i="13"/>
  <c r="C60" i="13"/>
  <c r="C56" i="13"/>
  <c r="C52" i="13"/>
  <c r="C48" i="13"/>
  <c r="C44" i="13"/>
  <c r="C40" i="13"/>
  <c r="C36" i="13"/>
  <c r="C32" i="13"/>
  <c r="C24" i="13"/>
  <c r="C100" i="13"/>
  <c r="D26" i="15"/>
  <c r="L11" i="9"/>
  <c r="L8" i="9" s="1"/>
  <c r="N31" i="9"/>
  <c r="F44" i="15" s="1"/>
  <c r="V31" i="9"/>
  <c r="F52" i="15" s="1"/>
  <c r="C29" i="15"/>
  <c r="E26" i="15"/>
  <c r="F26" i="15" s="1"/>
  <c r="G30" i="9"/>
  <c r="E37" i="15" s="1"/>
  <c r="C21" i="15"/>
  <c r="O30" i="9"/>
  <c r="E45" i="15" s="1"/>
  <c r="D22" i="15"/>
  <c r="W30" i="9"/>
  <c r="E53" i="15" s="1"/>
  <c r="C25" i="15"/>
  <c r="N30" i="9"/>
  <c r="E44" i="15" s="1"/>
  <c r="V30" i="9"/>
  <c r="E52" i="15" s="1"/>
  <c r="M31" i="9"/>
  <c r="F43" i="15" s="1"/>
  <c r="U31" i="9"/>
  <c r="F51" i="15" s="1"/>
  <c r="H30" i="9"/>
  <c r="E38" i="15" s="1"/>
  <c r="P30" i="9"/>
  <c r="E46" i="15" s="1"/>
  <c r="G31" i="9"/>
  <c r="F37" i="15" s="1"/>
  <c r="O31" i="9"/>
  <c r="F45" i="15" s="1"/>
  <c r="W31" i="9"/>
  <c r="F53" i="15" s="1"/>
  <c r="D21" i="15"/>
  <c r="I30" i="9"/>
  <c r="E39" i="15" s="1"/>
  <c r="Q30" i="9"/>
  <c r="E47" i="15" s="1"/>
  <c r="H31" i="9"/>
  <c r="F38" i="15" s="1"/>
  <c r="P31" i="9"/>
  <c r="F46" i="15" s="1"/>
  <c r="C20" i="15"/>
  <c r="C24" i="15"/>
  <c r="C28" i="15"/>
  <c r="E27" i="9"/>
  <c r="E28" i="9" s="1"/>
  <c r="J30" i="9"/>
  <c r="E40" i="15" s="1"/>
  <c r="R30" i="9"/>
  <c r="E48" i="15" s="1"/>
  <c r="I31" i="9"/>
  <c r="F39" i="15" s="1"/>
  <c r="Q31" i="9"/>
  <c r="F47" i="15" s="1"/>
  <c r="D20" i="15"/>
  <c r="D28" i="15"/>
  <c r="K30" i="9"/>
  <c r="E41" i="15" s="1"/>
  <c r="S30" i="9"/>
  <c r="E49" i="15" s="1"/>
  <c r="J31" i="9"/>
  <c r="F40" i="15" s="1"/>
  <c r="R31" i="9"/>
  <c r="F48" i="15" s="1"/>
  <c r="C19" i="15"/>
  <c r="C23" i="15"/>
  <c r="C27" i="15"/>
  <c r="L30" i="9"/>
  <c r="E42" i="15" s="1"/>
  <c r="T30" i="9"/>
  <c r="E50" i="15" s="1"/>
  <c r="K31" i="9"/>
  <c r="F41" i="15" s="1"/>
  <c r="S31" i="9"/>
  <c r="F49" i="15" s="1"/>
  <c r="D19" i="15"/>
  <c r="L5" i="9"/>
  <c r="L6" i="9"/>
  <c r="L7" i="9"/>
  <c r="AD14" i="9"/>
  <c r="AD18" i="9"/>
  <c r="AD22" i="9"/>
  <c r="M30" i="9"/>
  <c r="E43" i="15" s="1"/>
  <c r="U30" i="9"/>
  <c r="E51" i="15" s="1"/>
  <c r="L31" i="9"/>
  <c r="F42" i="15" s="1"/>
  <c r="AJ27" i="9"/>
  <c r="W27" i="9"/>
  <c r="B53" i="15" s="1"/>
  <c r="O27" i="9"/>
  <c r="B45" i="15" s="1"/>
  <c r="H27" i="9"/>
  <c r="B38" i="15" s="1"/>
  <c r="P27" i="9"/>
  <c r="B46" i="15" s="1"/>
  <c r="AK27" i="9"/>
  <c r="I27" i="9"/>
  <c r="B39" i="15" s="1"/>
  <c r="Q27" i="9"/>
  <c r="B47" i="15" s="1"/>
  <c r="R27" i="9"/>
  <c r="B48" i="15" s="1"/>
  <c r="AL27" i="9"/>
  <c r="J27" i="9"/>
  <c r="B40" i="15" s="1"/>
  <c r="S27" i="9"/>
  <c r="B49" i="15" s="1"/>
  <c r="AM27" i="9"/>
  <c r="T27" i="9"/>
  <c r="B50" i="15" s="1"/>
  <c r="AG27" i="9"/>
  <c r="M27" i="9"/>
  <c r="B43" i="15" s="1"/>
  <c r="U27" i="9"/>
  <c r="B51" i="15" s="1"/>
  <c r="AN27" i="9"/>
  <c r="AH27" i="9"/>
  <c r="N27" i="9"/>
  <c r="B44" i="15" s="1"/>
  <c r="V27" i="9"/>
  <c r="B52" i="15" s="1"/>
  <c r="AI27" i="9"/>
  <c r="AO27" i="9"/>
  <c r="K27" i="9"/>
  <c r="B41" i="15" s="1"/>
  <c r="L27" i="9"/>
  <c r="B42" i="15" s="1"/>
  <c r="G27" i="9"/>
  <c r="B4" i="16" s="1"/>
  <c r="A4" i="16" s="1"/>
  <c r="I99" i="13" l="1"/>
  <c r="J99" i="13" s="1"/>
  <c r="I95" i="13"/>
  <c r="J95" i="13" s="1"/>
  <c r="I91" i="13"/>
  <c r="J91" i="13" s="1"/>
  <c r="I87" i="13"/>
  <c r="J87" i="13" s="1"/>
  <c r="I83" i="13"/>
  <c r="J83" i="13" s="1"/>
  <c r="I79" i="13"/>
  <c r="J79" i="13" s="1"/>
  <c r="I75" i="13"/>
  <c r="J75" i="13" s="1"/>
  <c r="I71" i="13"/>
  <c r="J71" i="13" s="1"/>
  <c r="I67" i="13"/>
  <c r="J67" i="13" s="1"/>
  <c r="I63" i="13"/>
  <c r="J63" i="13" s="1"/>
  <c r="I59" i="13"/>
  <c r="J59" i="13" s="1"/>
  <c r="I55" i="13"/>
  <c r="J55" i="13" s="1"/>
  <c r="I47" i="13"/>
  <c r="J47" i="13" s="1"/>
  <c r="I100" i="13"/>
  <c r="J100" i="13" s="1"/>
  <c r="I96" i="13"/>
  <c r="J96" i="13" s="1"/>
  <c r="I92" i="13"/>
  <c r="J92" i="13" s="1"/>
  <c r="I88" i="13"/>
  <c r="J88" i="13" s="1"/>
  <c r="I84" i="13"/>
  <c r="J84" i="13" s="1"/>
  <c r="I80" i="13"/>
  <c r="J80" i="13" s="1"/>
  <c r="I76" i="13"/>
  <c r="J76" i="13" s="1"/>
  <c r="I72" i="13"/>
  <c r="J72" i="13" s="1"/>
  <c r="I68" i="13"/>
  <c r="J68" i="13" s="1"/>
  <c r="I64" i="13"/>
  <c r="J64" i="13" s="1"/>
  <c r="I60" i="13"/>
  <c r="J60" i="13" s="1"/>
  <c r="I56" i="13"/>
  <c r="J56" i="13" s="1"/>
  <c r="I52" i="13"/>
  <c r="J52" i="13" s="1"/>
  <c r="I48" i="13"/>
  <c r="J48" i="13" s="1"/>
  <c r="I44" i="13"/>
  <c r="J44" i="13" s="1"/>
  <c r="I40" i="13"/>
  <c r="J40" i="13" s="1"/>
  <c r="I36" i="13"/>
  <c r="J36" i="13" s="1"/>
  <c r="I32" i="13"/>
  <c r="J32" i="13" s="1"/>
  <c r="I28" i="13"/>
  <c r="J28" i="13" s="1"/>
  <c r="I24" i="13"/>
  <c r="J24" i="13" s="1"/>
  <c r="I20" i="13"/>
  <c r="J20" i="13" s="1"/>
  <c r="I35" i="13"/>
  <c r="J35" i="13" s="1"/>
  <c r="I31" i="13"/>
  <c r="J31" i="13" s="1"/>
  <c r="I27" i="13"/>
  <c r="J27" i="13" s="1"/>
  <c r="I23" i="13"/>
  <c r="J23" i="13" s="1"/>
  <c r="I19" i="13"/>
  <c r="J19" i="13" s="1"/>
  <c r="I17" i="13"/>
  <c r="J17" i="13" s="1"/>
  <c r="I15" i="13"/>
  <c r="J15" i="13" s="1"/>
  <c r="I13" i="13"/>
  <c r="J13" i="13" s="1"/>
  <c r="I11" i="13"/>
  <c r="J11" i="13" s="1"/>
  <c r="I9" i="13"/>
  <c r="J9" i="13" s="1"/>
  <c r="I7" i="13"/>
  <c r="J7" i="13" s="1"/>
  <c r="I5" i="13"/>
  <c r="J5" i="13" s="1"/>
  <c r="I97" i="13"/>
  <c r="J97" i="13" s="1"/>
  <c r="I93" i="13"/>
  <c r="J93" i="13" s="1"/>
  <c r="I89" i="13"/>
  <c r="J89" i="13" s="1"/>
  <c r="I85" i="13"/>
  <c r="J85" i="13" s="1"/>
  <c r="I81" i="13"/>
  <c r="J81" i="13" s="1"/>
  <c r="I77" i="13"/>
  <c r="J77" i="13" s="1"/>
  <c r="I73" i="13"/>
  <c r="J73" i="13" s="1"/>
  <c r="I69" i="13"/>
  <c r="J69" i="13" s="1"/>
  <c r="I65" i="13"/>
  <c r="J65" i="13" s="1"/>
  <c r="I61" i="13"/>
  <c r="J61" i="13" s="1"/>
  <c r="I57" i="13"/>
  <c r="J57" i="13" s="1"/>
  <c r="I53" i="13"/>
  <c r="J53" i="13" s="1"/>
  <c r="I49" i="13"/>
  <c r="J49" i="13" s="1"/>
  <c r="I45" i="13"/>
  <c r="J45" i="13" s="1"/>
  <c r="I41" i="13"/>
  <c r="J41" i="13" s="1"/>
  <c r="I37" i="13"/>
  <c r="J37" i="13" s="1"/>
  <c r="I33" i="13"/>
  <c r="J33" i="13" s="1"/>
  <c r="I29" i="13"/>
  <c r="J29" i="13" s="1"/>
  <c r="I25" i="13"/>
  <c r="J25" i="13" s="1"/>
  <c r="I21" i="13"/>
  <c r="J21" i="13" s="1"/>
  <c r="I18" i="13"/>
  <c r="J18" i="13" s="1"/>
  <c r="I16" i="13"/>
  <c r="J16" i="13" s="1"/>
  <c r="I14" i="13"/>
  <c r="J14" i="13" s="1"/>
  <c r="I12" i="13"/>
  <c r="J12" i="13" s="1"/>
  <c r="I10" i="13"/>
  <c r="J10" i="13" s="1"/>
  <c r="I8" i="13"/>
  <c r="J8" i="13" s="1"/>
  <c r="I6" i="13"/>
  <c r="J6" i="13" s="1"/>
  <c r="I4" i="13"/>
  <c r="J4" i="13" s="1"/>
  <c r="I2" i="13"/>
  <c r="J2" i="13" s="1"/>
  <c r="I43" i="13"/>
  <c r="J43" i="13" s="1"/>
  <c r="I39" i="13"/>
  <c r="J39" i="13" s="1"/>
  <c r="I98" i="13"/>
  <c r="J98" i="13" s="1"/>
  <c r="I94" i="13"/>
  <c r="J94" i="13" s="1"/>
  <c r="I90" i="13"/>
  <c r="J90" i="13" s="1"/>
  <c r="I86" i="13"/>
  <c r="J86" i="13" s="1"/>
  <c r="I82" i="13"/>
  <c r="J82" i="13" s="1"/>
  <c r="I78" i="13"/>
  <c r="J78" i="13" s="1"/>
  <c r="I74" i="13"/>
  <c r="J74" i="13" s="1"/>
  <c r="I70" i="13"/>
  <c r="J70" i="13" s="1"/>
  <c r="I66" i="13"/>
  <c r="J66" i="13" s="1"/>
  <c r="I62" i="13"/>
  <c r="J62" i="13" s="1"/>
  <c r="I58" i="13"/>
  <c r="J58" i="13" s="1"/>
  <c r="I54" i="13"/>
  <c r="J54" i="13" s="1"/>
  <c r="I50" i="13"/>
  <c r="J50" i="13" s="1"/>
  <c r="I46" i="13"/>
  <c r="J46" i="13" s="1"/>
  <c r="I42" i="13"/>
  <c r="J42" i="13" s="1"/>
  <c r="I38" i="13"/>
  <c r="J38" i="13" s="1"/>
  <c r="I34" i="13"/>
  <c r="J34" i="13" s="1"/>
  <c r="I30" i="13"/>
  <c r="J30" i="13" s="1"/>
  <c r="I26" i="13"/>
  <c r="J26" i="13" s="1"/>
  <c r="I22" i="13"/>
  <c r="J22" i="13" s="1"/>
  <c r="I51" i="13"/>
  <c r="J51" i="13" s="1"/>
  <c r="I3" i="13"/>
  <c r="J3" i="13" s="1"/>
  <c r="D99" i="13"/>
  <c r="E99" i="13" s="1"/>
  <c r="D95" i="13"/>
  <c r="E95" i="13" s="1"/>
  <c r="D91" i="13"/>
  <c r="E91" i="13" s="1"/>
  <c r="D87" i="13"/>
  <c r="E87" i="13" s="1"/>
  <c r="D83" i="13"/>
  <c r="E83" i="13" s="1"/>
  <c r="D79" i="13"/>
  <c r="E79" i="13" s="1"/>
  <c r="D75" i="13"/>
  <c r="E75" i="13" s="1"/>
  <c r="D71" i="13"/>
  <c r="E71" i="13" s="1"/>
  <c r="D67" i="13"/>
  <c r="E67" i="13" s="1"/>
  <c r="D63" i="13"/>
  <c r="E63" i="13" s="1"/>
  <c r="D59" i="13"/>
  <c r="E59" i="13" s="1"/>
  <c r="D55" i="13"/>
  <c r="E55" i="13" s="1"/>
  <c r="D51" i="13"/>
  <c r="E51" i="13" s="1"/>
  <c r="D47" i="13"/>
  <c r="E47" i="13" s="1"/>
  <c r="D43" i="13"/>
  <c r="E43" i="13" s="1"/>
  <c r="D39" i="13"/>
  <c r="E39" i="13" s="1"/>
  <c r="D35" i="13"/>
  <c r="E35" i="13" s="1"/>
  <c r="D31" i="13"/>
  <c r="E31" i="13" s="1"/>
  <c r="D27" i="13"/>
  <c r="E27" i="13" s="1"/>
  <c r="D23" i="13"/>
  <c r="E23" i="13" s="1"/>
  <c r="D19" i="13"/>
  <c r="E19" i="13" s="1"/>
  <c r="D15" i="13"/>
  <c r="E15" i="13" s="1"/>
  <c r="D11" i="13"/>
  <c r="E11" i="13" s="1"/>
  <c r="D7" i="13"/>
  <c r="E7" i="13" s="1"/>
  <c r="D3" i="13"/>
  <c r="E3" i="13" s="1"/>
  <c r="D98" i="13"/>
  <c r="E98" i="13" s="1"/>
  <c r="D94" i="13"/>
  <c r="E94" i="13" s="1"/>
  <c r="D90" i="13"/>
  <c r="E90" i="13" s="1"/>
  <c r="D86" i="13"/>
  <c r="E86" i="13" s="1"/>
  <c r="D82" i="13"/>
  <c r="E82" i="13" s="1"/>
  <c r="D78" i="13"/>
  <c r="E78" i="13" s="1"/>
  <c r="D74" i="13"/>
  <c r="E74" i="13" s="1"/>
  <c r="D70" i="13"/>
  <c r="E70" i="13" s="1"/>
  <c r="D66" i="13"/>
  <c r="E66" i="13" s="1"/>
  <c r="D62" i="13"/>
  <c r="E62" i="13" s="1"/>
  <c r="D58" i="13"/>
  <c r="E58" i="13" s="1"/>
  <c r="D54" i="13"/>
  <c r="E54" i="13" s="1"/>
  <c r="D50" i="13"/>
  <c r="E50" i="13" s="1"/>
  <c r="D46" i="13"/>
  <c r="E46" i="13" s="1"/>
  <c r="D42" i="13"/>
  <c r="E42" i="13" s="1"/>
  <c r="D38" i="13"/>
  <c r="E38" i="13" s="1"/>
  <c r="D34" i="13"/>
  <c r="E34" i="13" s="1"/>
  <c r="D30" i="13"/>
  <c r="E30" i="13" s="1"/>
  <c r="D26" i="13"/>
  <c r="E26" i="13" s="1"/>
  <c r="D22" i="13"/>
  <c r="E22" i="13" s="1"/>
  <c r="D18" i="13"/>
  <c r="E18" i="13" s="1"/>
  <c r="D14" i="13"/>
  <c r="E14" i="13" s="1"/>
  <c r="D10" i="13"/>
  <c r="E10" i="13" s="1"/>
  <c r="D6" i="13"/>
  <c r="E6" i="13" s="1"/>
  <c r="D2" i="13"/>
  <c r="E2" i="13" s="1"/>
  <c r="D97" i="13"/>
  <c r="E97" i="13" s="1"/>
  <c r="D93" i="13"/>
  <c r="E93" i="13" s="1"/>
  <c r="D89" i="13"/>
  <c r="E89" i="13" s="1"/>
  <c r="D85" i="13"/>
  <c r="E85" i="13" s="1"/>
  <c r="D81" i="13"/>
  <c r="E81" i="13" s="1"/>
  <c r="D77" i="13"/>
  <c r="E77" i="13" s="1"/>
  <c r="D73" i="13"/>
  <c r="E73" i="13" s="1"/>
  <c r="D69" i="13"/>
  <c r="E69" i="13" s="1"/>
  <c r="D65" i="13"/>
  <c r="E65" i="13" s="1"/>
  <c r="D61" i="13"/>
  <c r="E61" i="13" s="1"/>
  <c r="D57" i="13"/>
  <c r="E57" i="13" s="1"/>
  <c r="D53" i="13"/>
  <c r="E53" i="13" s="1"/>
  <c r="D49" i="13"/>
  <c r="E49" i="13" s="1"/>
  <c r="D45" i="13"/>
  <c r="E45" i="13" s="1"/>
  <c r="D41" i="13"/>
  <c r="E41" i="13" s="1"/>
  <c r="D37" i="13"/>
  <c r="E37" i="13" s="1"/>
  <c r="D33" i="13"/>
  <c r="E33" i="13" s="1"/>
  <c r="D29" i="13"/>
  <c r="E29" i="13" s="1"/>
  <c r="D25" i="13"/>
  <c r="E25" i="13" s="1"/>
  <c r="D21" i="13"/>
  <c r="E21" i="13" s="1"/>
  <c r="D17" i="13"/>
  <c r="E17" i="13" s="1"/>
  <c r="D13" i="13"/>
  <c r="E13" i="13" s="1"/>
  <c r="D9" i="13"/>
  <c r="E9" i="13" s="1"/>
  <c r="D5" i="13"/>
  <c r="E5" i="13" s="1"/>
  <c r="D100" i="13"/>
  <c r="E100" i="13" s="1"/>
  <c r="D96" i="13"/>
  <c r="E96" i="13" s="1"/>
  <c r="D92" i="13"/>
  <c r="E92" i="13" s="1"/>
  <c r="D88" i="13"/>
  <c r="E88" i="13" s="1"/>
  <c r="D84" i="13"/>
  <c r="E84" i="13" s="1"/>
  <c r="D80" i="13"/>
  <c r="E80" i="13" s="1"/>
  <c r="D76" i="13"/>
  <c r="E76" i="13" s="1"/>
  <c r="D72" i="13"/>
  <c r="E72" i="13" s="1"/>
  <c r="D68" i="13"/>
  <c r="E68" i="13" s="1"/>
  <c r="D64" i="13"/>
  <c r="E64" i="13" s="1"/>
  <c r="D60" i="13"/>
  <c r="E60" i="13" s="1"/>
  <c r="D56" i="13"/>
  <c r="E56" i="13" s="1"/>
  <c r="D52" i="13"/>
  <c r="E52" i="13" s="1"/>
  <c r="D48" i="13"/>
  <c r="E48" i="13" s="1"/>
  <c r="D44" i="13"/>
  <c r="E44" i="13" s="1"/>
  <c r="D40" i="13"/>
  <c r="E40" i="13" s="1"/>
  <c r="D36" i="13"/>
  <c r="E36" i="13" s="1"/>
  <c r="D32" i="13"/>
  <c r="E32" i="13" s="1"/>
  <c r="D28" i="13"/>
  <c r="E28" i="13" s="1"/>
  <c r="D24" i="13"/>
  <c r="E24" i="13" s="1"/>
  <c r="D20" i="13"/>
  <c r="E20" i="13" s="1"/>
  <c r="D16" i="13"/>
  <c r="E16" i="13" s="1"/>
  <c r="D12" i="13"/>
  <c r="E12" i="13" s="1"/>
  <c r="D8" i="13"/>
  <c r="E8" i="13" s="1"/>
  <c r="D4" i="13"/>
  <c r="E4" i="13" s="1"/>
  <c r="Z13" i="9"/>
  <c r="Z25" i="9"/>
  <c r="AA25" i="9" s="1"/>
  <c r="Z24" i="9"/>
  <c r="AA24" i="9" s="1"/>
  <c r="Z23" i="9"/>
  <c r="AA23" i="9" s="1"/>
  <c r="Z22" i="9"/>
  <c r="AA22" i="9" s="1"/>
  <c r="Z21" i="9"/>
  <c r="AA21" i="9" s="1"/>
  <c r="Z20" i="9"/>
  <c r="AA20" i="9" s="1"/>
  <c r="Z19" i="9"/>
  <c r="AA19" i="9" s="1"/>
  <c r="Z18" i="9"/>
  <c r="AA18" i="9" s="1"/>
  <c r="Z17" i="9"/>
  <c r="AA17" i="9" s="1"/>
  <c r="Z16" i="9"/>
  <c r="AA16" i="9" s="1"/>
  <c r="Z15" i="9"/>
  <c r="AA15" i="9" s="1"/>
  <c r="Z14" i="9"/>
  <c r="AA14" i="9" s="1"/>
  <c r="AD27" i="9"/>
  <c r="D11" i="16"/>
  <c r="C11" i="16" s="1"/>
  <c r="D10" i="16"/>
  <c r="C10" i="16" s="1"/>
  <c r="D6" i="16"/>
  <c r="C6" i="16" s="1"/>
  <c r="D7" i="16"/>
  <c r="C7" i="16" s="1"/>
  <c r="D13" i="16"/>
  <c r="C13" i="16" s="1"/>
  <c r="B6" i="16"/>
  <c r="A6" i="16" s="1"/>
  <c r="B12" i="16"/>
  <c r="A12" i="16" s="1"/>
  <c r="D3" i="16"/>
  <c r="C3" i="16" s="1"/>
  <c r="D5" i="16"/>
  <c r="C5" i="16" s="1"/>
  <c r="D8" i="16"/>
  <c r="C8" i="16" s="1"/>
  <c r="D9" i="16"/>
  <c r="C9" i="16" s="1"/>
  <c r="D12" i="16"/>
  <c r="C12" i="16" s="1"/>
  <c r="D2" i="16"/>
  <c r="C2" i="16" s="1"/>
  <c r="D4" i="16"/>
  <c r="C4" i="16" s="1"/>
  <c r="F2" i="16"/>
  <c r="H4" i="16"/>
  <c r="G4" i="16" s="1"/>
  <c r="H5" i="16"/>
  <c r="G5" i="16" s="1"/>
  <c r="H10" i="16"/>
  <c r="G10" i="16" s="1"/>
  <c r="H12" i="16"/>
  <c r="G12" i="16" s="1"/>
  <c r="B7" i="16"/>
  <c r="A7" i="16" s="1"/>
  <c r="F7" i="16"/>
  <c r="E7" i="16" s="1"/>
  <c r="F5" i="16"/>
  <c r="E5" i="16" s="1"/>
  <c r="F8" i="16"/>
  <c r="E8" i="16" s="1"/>
  <c r="H6" i="16"/>
  <c r="G6" i="16" s="1"/>
  <c r="B2" i="16"/>
  <c r="B8" i="16"/>
  <c r="A8" i="16" s="1"/>
  <c r="F3" i="16"/>
  <c r="E3" i="16" s="1"/>
  <c r="F9" i="16"/>
  <c r="E9" i="16" s="1"/>
  <c r="H7" i="16"/>
  <c r="G7" i="16" s="1"/>
  <c r="B3" i="16"/>
  <c r="A3" i="16" s="1"/>
  <c r="H8" i="16"/>
  <c r="G8" i="16" s="1"/>
  <c r="H13" i="16"/>
  <c r="G13" i="16" s="1"/>
  <c r="B13" i="16"/>
  <c r="A13" i="16" s="1"/>
  <c r="B11" i="16"/>
  <c r="A11" i="16" s="1"/>
  <c r="B10" i="16"/>
  <c r="A10" i="16" s="1"/>
  <c r="B9" i="16"/>
  <c r="A9" i="16" s="1"/>
  <c r="B37" i="15"/>
  <c r="F4" i="16"/>
  <c r="E4" i="16" s="1"/>
  <c r="F10" i="16"/>
  <c r="E10" i="16" s="1"/>
  <c r="B5" i="16"/>
  <c r="A5" i="16" s="1"/>
  <c r="H3" i="16"/>
  <c r="G3" i="16" s="1"/>
  <c r="H9" i="16"/>
  <c r="G9" i="16" s="1"/>
  <c r="F13" i="16"/>
  <c r="E13" i="16" s="1"/>
  <c r="F6" i="16"/>
  <c r="E6" i="16" s="1"/>
  <c r="F11" i="16"/>
  <c r="E11" i="16" s="1"/>
  <c r="F12" i="16"/>
  <c r="E12" i="16" s="1"/>
  <c r="H2" i="16"/>
  <c r="H11" i="16"/>
  <c r="G11" i="16" s="1"/>
  <c r="D14" i="16" l="1"/>
  <c r="G2" i="16"/>
  <c r="H14" i="16"/>
  <c r="B14" i="16"/>
  <c r="A2" i="16"/>
  <c r="E2" i="16"/>
  <c r="F14" i="16"/>
</calcChain>
</file>

<file path=xl/sharedStrings.xml><?xml version="1.0" encoding="utf-8"?>
<sst xmlns="http://schemas.openxmlformats.org/spreadsheetml/2006/main" count="829" uniqueCount="388">
  <si>
    <t>Identity of the farm:</t>
  </si>
  <si>
    <t>Select the good scenario</t>
  </si>
  <si>
    <t>Farmer's name:</t>
  </si>
  <si>
    <t>Starter</t>
  </si>
  <si>
    <t>Date:</t>
  </si>
  <si>
    <t>Duration</t>
  </si>
  <si>
    <t>Production:</t>
  </si>
  <si>
    <t>This type of feed is used in</t>
  </si>
  <si>
    <t>Poultry Flocks</t>
  </si>
  <si>
    <t>Category of animals</t>
  </si>
  <si>
    <t>Objectives (kg, days)</t>
  </si>
  <si>
    <t xml:space="preserve">Number of  feed phases </t>
  </si>
  <si>
    <t xml:space="preserve"> </t>
  </si>
  <si>
    <t>Type of animals</t>
  </si>
  <si>
    <t xml:space="preserve">Total ration weight: </t>
  </si>
  <si>
    <r>
      <t xml:space="preserve">Kg </t>
    </r>
    <r>
      <rPr>
        <i/>
        <sz val="11"/>
        <rFont val="Calibri"/>
        <family val="2"/>
        <scheme val="minor"/>
      </rPr>
      <t>(Grinder capacity)</t>
    </r>
  </si>
  <si>
    <t>Feedstuffs</t>
  </si>
  <si>
    <t>Kg</t>
  </si>
  <si>
    <t>%</t>
  </si>
  <si>
    <t>ME roaster MJ/Kg</t>
  </si>
  <si>
    <t xml:space="preserve">CP % </t>
  </si>
  <si>
    <t xml:space="preserve">Fat % </t>
  </si>
  <si>
    <t xml:space="preserve">Fiber % </t>
  </si>
  <si>
    <t>LYS %</t>
  </si>
  <si>
    <t xml:space="preserve">MET % </t>
  </si>
  <si>
    <t>MET+CYS %</t>
  </si>
  <si>
    <t xml:space="preserve">THR % </t>
  </si>
  <si>
    <t xml:space="preserve">TRY % </t>
  </si>
  <si>
    <t xml:space="preserve">DIS LYS poultry % </t>
  </si>
  <si>
    <t xml:space="preserve">DIS MET poultry % </t>
  </si>
  <si>
    <t xml:space="preserve">DIS MET+CYS poultry % </t>
  </si>
  <si>
    <t>DIS THR poultry % raw</t>
  </si>
  <si>
    <t>DIS TRY poultry % raw</t>
  </si>
  <si>
    <t>Ca g/kg Raw</t>
  </si>
  <si>
    <t>P g/kg Raw</t>
  </si>
  <si>
    <t>Na g/kg Raw</t>
  </si>
  <si>
    <t>Min</t>
  </si>
  <si>
    <t>TAKE CARE OF</t>
  </si>
  <si>
    <t>Feedstuffs costs (€/T)</t>
  </si>
  <si>
    <t>Ration Costs (€)</t>
  </si>
  <si>
    <t>% of cost</t>
  </si>
  <si>
    <t>C16:0 % Fat</t>
  </si>
  <si>
    <t>C18:0 % Fat</t>
  </si>
  <si>
    <t>C18:1 % Fat (Oleic)</t>
  </si>
  <si>
    <t>C18:2 % Fat (linoleic)</t>
  </si>
  <si>
    <t>C18:3 % Fat (Alpha linolenic)</t>
  </si>
  <si>
    <t>Mg g/kg Raw</t>
  </si>
  <si>
    <t>K g/kg as fed</t>
  </si>
  <si>
    <t>Corn 9,6% CP</t>
  </si>
  <si>
    <t>Triticale 9,9% CP</t>
  </si>
  <si>
    <t>Faba Bean (white flower)</t>
  </si>
  <si>
    <t>pea (white)</t>
  </si>
  <si>
    <t>Sunflower cake (low protein)</t>
  </si>
  <si>
    <t>Rapeseed cake (low fat)</t>
  </si>
  <si>
    <t>Soyabean cake (high protein)</t>
  </si>
  <si>
    <t>Soya bean toasted</t>
  </si>
  <si>
    <t>Sodium chlorite</t>
  </si>
  <si>
    <t>Calcium carbonate</t>
  </si>
  <si>
    <t>Rice protein concentrate</t>
  </si>
  <si>
    <t>Barley 10,3% CP</t>
  </si>
  <si>
    <t>TOTAL</t>
  </si>
  <si>
    <t>Grinder capacity?</t>
  </si>
  <si>
    <t>kg</t>
  </si>
  <si>
    <t>ME</t>
  </si>
  <si>
    <t>CP</t>
  </si>
  <si>
    <t>FAT</t>
  </si>
  <si>
    <t>CF</t>
  </si>
  <si>
    <t>LYS</t>
  </si>
  <si>
    <t>Met</t>
  </si>
  <si>
    <t>Met+Cys</t>
  </si>
  <si>
    <t>Thr</t>
  </si>
  <si>
    <t>Trp</t>
  </si>
  <si>
    <t>Dis Lys</t>
  </si>
  <si>
    <t>Dis Met</t>
  </si>
  <si>
    <t>Dis Met+Cys</t>
  </si>
  <si>
    <t>Dis Thr</t>
  </si>
  <si>
    <t>Dis Try</t>
  </si>
  <si>
    <t>Ca</t>
  </si>
  <si>
    <t xml:space="preserve">P </t>
  </si>
  <si>
    <t>Na</t>
  </si>
  <si>
    <t>Feed Prices (€/T)</t>
  </si>
  <si>
    <t>Max</t>
  </si>
  <si>
    <t>List selections</t>
  </si>
  <si>
    <t>Manual selections</t>
  </si>
  <si>
    <t>Main constituents</t>
  </si>
  <si>
    <t>Total Amino Acid</t>
  </si>
  <si>
    <t>Fatty Acids</t>
  </si>
  <si>
    <t xml:space="preserve">Minerals </t>
  </si>
  <si>
    <t>Energy</t>
  </si>
  <si>
    <t xml:space="preserve">Inclusion levels </t>
  </si>
  <si>
    <t>Digestible Amino acid</t>
  </si>
  <si>
    <t>Matière première</t>
  </si>
  <si>
    <t>Category</t>
  </si>
  <si>
    <t>C16:0 g/Kg Fat</t>
  </si>
  <si>
    <t>C18:0 g/Kg Fat</t>
  </si>
  <si>
    <t>C18:1 g/Kg Fat (Oleic)</t>
  </si>
  <si>
    <t>C18:2 g/Kg Fat (linoleic)</t>
  </si>
  <si>
    <t>C18:3 g/Kg Fat (Alpha linolenic)</t>
  </si>
  <si>
    <t>%  max
&lt; 28 day broiler</t>
  </si>
  <si>
    <t>%  max
broiler</t>
  </si>
  <si>
    <t>%  max
 Hen</t>
  </si>
  <si>
    <t xml:space="preserve">Source </t>
  </si>
  <si>
    <t>Alfalfa protein concentrate</t>
  </si>
  <si>
    <t>Other</t>
  </si>
  <si>
    <t xml:space="preserve">Alfalfa, dehydrated, protein &lt; 16% </t>
  </si>
  <si>
    <t xml:space="preserve">Dehydrated forage </t>
  </si>
  <si>
    <t xml:space="preserve">Alfalfa, dehydrated, protein 16-18% </t>
  </si>
  <si>
    <t xml:space="preserve">Alfalfa, dehydrated, protein 17-19% </t>
  </si>
  <si>
    <t xml:space="preserve">Alfalfa, dehydrated, protein 19-22% </t>
  </si>
  <si>
    <t xml:space="preserve">Other plant product </t>
  </si>
  <si>
    <t>Orge 10,3% MAT</t>
  </si>
  <si>
    <t>Cereals</t>
  </si>
  <si>
    <t>Barley 8,3% CP</t>
  </si>
  <si>
    <t>Orge 8,3% MAT</t>
  </si>
  <si>
    <t>Barley 9,3% CP</t>
  </si>
  <si>
    <t>Orge 9,3% MAT</t>
  </si>
  <si>
    <t>*</t>
  </si>
  <si>
    <t>Bicalcium Phosphate</t>
  </si>
  <si>
    <t>Minerals</t>
  </si>
  <si>
    <t>INRA table</t>
  </si>
  <si>
    <t>Blue Lupine</t>
  </si>
  <si>
    <t>Legume seeds</t>
  </si>
  <si>
    <t>INRA feed table 2002</t>
  </si>
  <si>
    <t>Wheat by-products</t>
  </si>
  <si>
    <t>Camelina cake</t>
  </si>
  <si>
    <t>Oilseeds (Cake)</t>
  </si>
  <si>
    <t>Chickpea</t>
  </si>
  <si>
    <t>Conventionnal corn gluten</t>
  </si>
  <si>
    <t>Cereals byproducts</t>
  </si>
  <si>
    <t>Conventionnal potato protein</t>
  </si>
  <si>
    <t>Root byproduct</t>
  </si>
  <si>
    <t>Corn 7,6% CP</t>
  </si>
  <si>
    <t>Maïs 7,6% MAT</t>
  </si>
  <si>
    <t>Corn 8,6% CP</t>
  </si>
  <si>
    <t>Maïs 8,6% MAT</t>
  </si>
  <si>
    <t>Maïs 9,6% MAT</t>
  </si>
  <si>
    <t>Crepidula</t>
  </si>
  <si>
    <t xml:space="preserve">Fishmeals and solubles </t>
  </si>
  <si>
    <t>Faba Bean (coloured flower)</t>
  </si>
  <si>
    <t>Fodder beet</t>
  </si>
  <si>
    <t>Grass pea</t>
  </si>
  <si>
    <t>Hemp cake</t>
  </si>
  <si>
    <t>Linseed meal, oil &gt; 5%</t>
  </si>
  <si>
    <t>Lithotamne</t>
  </si>
  <si>
    <t>Molasses</t>
  </si>
  <si>
    <t>Other plant product</t>
  </si>
  <si>
    <t>Monocalcic phosphate</t>
  </si>
  <si>
    <t>Oat</t>
  </si>
  <si>
    <t>Avoine</t>
  </si>
  <si>
    <t>Oat dehulled</t>
  </si>
  <si>
    <t>Avoine décortiqué</t>
  </si>
  <si>
    <t>Oat withtout hull</t>
  </si>
  <si>
    <t>Avoine nue</t>
  </si>
  <si>
    <t>Okara, fat &gt; 5%</t>
  </si>
  <si>
    <t>Oyster shells</t>
  </si>
  <si>
    <t>pea (coloured)</t>
  </si>
  <si>
    <t>Rape oil</t>
  </si>
  <si>
    <t>Oil</t>
  </si>
  <si>
    <t>Rapeseed</t>
  </si>
  <si>
    <t>Rapeseed meal, oil &gt; 5%, organic</t>
  </si>
  <si>
    <t>Red clover</t>
  </si>
  <si>
    <t>ndividual component with low DM</t>
  </si>
  <si>
    <t>ICOPP MTT</t>
  </si>
  <si>
    <t>Rye</t>
  </si>
  <si>
    <t>Seigle</t>
  </si>
  <si>
    <t>Sesame oil meal, oil &gt; 5%</t>
  </si>
  <si>
    <t xml:space="preserve">Sorghum </t>
  </si>
  <si>
    <t>Sorghum</t>
  </si>
  <si>
    <t>Soya bean thermically treated</t>
  </si>
  <si>
    <t>88.6.</t>
  </si>
  <si>
    <t>Soya oil</t>
  </si>
  <si>
    <t>Soyabean cake (low protein)</t>
  </si>
  <si>
    <t>Spelt</t>
  </si>
  <si>
    <t>Sunflower bean</t>
  </si>
  <si>
    <t>Sunflower cake (dehulled)</t>
  </si>
  <si>
    <t>Sunflower cake (high protein)</t>
  </si>
  <si>
    <t>Sunflower oil</t>
  </si>
  <si>
    <t>Triticale 10,9% CP</t>
  </si>
  <si>
    <t>Triticale 10,9% MAT</t>
  </si>
  <si>
    <t>Triticale 7,9% CP</t>
  </si>
  <si>
    <t>Triticale 7,9% MAT</t>
  </si>
  <si>
    <t>Triticale 8,9% CP</t>
  </si>
  <si>
    <t>Triticale 8,9% MAT</t>
  </si>
  <si>
    <t>Triticale 9,9% MAT</t>
  </si>
  <si>
    <t>Vetch common</t>
  </si>
  <si>
    <t>Vetch common leaves</t>
  </si>
  <si>
    <t xml:space="preserve">Feedipedia </t>
  </si>
  <si>
    <t>Wheat 10,5% CP</t>
  </si>
  <si>
    <t>Blé tendre 10,5% MAT</t>
  </si>
  <si>
    <t>Wheat 11,5% CP</t>
  </si>
  <si>
    <t>Blé tendre 11,5% MAT</t>
  </si>
  <si>
    <t>Wheat 9,5% CP</t>
  </si>
  <si>
    <t>Blé tendre 9,5% MAT</t>
  </si>
  <si>
    <t>Wheat bran</t>
  </si>
  <si>
    <t>Wheat middlings, all types except durum</t>
  </si>
  <si>
    <t>Whey dreid (Full fat)</t>
  </si>
  <si>
    <t>Dairy productcts</t>
  </si>
  <si>
    <t>Whey dried (low fat)</t>
  </si>
  <si>
    <t>Whey, acid or sweet, dehydrated</t>
  </si>
  <si>
    <t>White Lupine</t>
  </si>
  <si>
    <t>Yeast dried</t>
  </si>
  <si>
    <t>French table and Feedipedia</t>
  </si>
  <si>
    <t>Obj_reference</t>
  </si>
  <si>
    <t>Scenarios_reference</t>
  </si>
  <si>
    <t>Production</t>
  </si>
  <si>
    <t xml:space="preserve">Scenarios </t>
  </si>
  <si>
    <t>Nb phasis</t>
  </si>
  <si>
    <t>Formula_Name</t>
  </si>
  <si>
    <t>Country</t>
  </si>
  <si>
    <t>Type of animals to select ration limitation levels</t>
  </si>
  <si>
    <t>F1_ME Min</t>
  </si>
  <si>
    <t>F1_CP Min</t>
  </si>
  <si>
    <t>F1_FAT Min</t>
  </si>
  <si>
    <t>F1_CF Min</t>
  </si>
  <si>
    <t>F1_Ca Min</t>
  </si>
  <si>
    <t>F1_P Min</t>
  </si>
  <si>
    <t>F1_Na Min</t>
  </si>
  <si>
    <t>F1 Lys tot min</t>
  </si>
  <si>
    <t>F1_Met tot Max</t>
  </si>
  <si>
    <t>F1_Met+Cys Tot Min</t>
  </si>
  <si>
    <t>F1_Thr tot Min</t>
  </si>
  <si>
    <t>F1_ME Max</t>
  </si>
  <si>
    <t>F1_CP Max</t>
  </si>
  <si>
    <t>F1_FAT Max</t>
  </si>
  <si>
    <t>F1_CF Max</t>
  </si>
  <si>
    <t>F1_Ca Max</t>
  </si>
  <si>
    <t>F1_P Max</t>
  </si>
  <si>
    <t>F1_Na Max</t>
  </si>
  <si>
    <t xml:space="preserve">F1_Lys Tot Max </t>
  </si>
  <si>
    <t>F1_Met Tot Max2</t>
  </si>
  <si>
    <t>F1_Met+Cys Tot max</t>
  </si>
  <si>
    <t>F1_Thr tot Max</t>
  </si>
  <si>
    <t>F1_Thr Max</t>
  </si>
  <si>
    <t xml:space="preserve">Comments </t>
  </si>
  <si>
    <t>Broiler</t>
  </si>
  <si>
    <t>Finishing</t>
  </si>
  <si>
    <t>29 - 63 days</t>
  </si>
  <si>
    <t>Germany</t>
  </si>
  <si>
    <t>broiler</t>
  </si>
  <si>
    <t>Growing</t>
  </si>
  <si>
    <t>15-28 days</t>
  </si>
  <si>
    <t>&lt; 28 day broiler</t>
  </si>
  <si>
    <t>0-14</t>
  </si>
  <si>
    <t>63-112 days</t>
  </si>
  <si>
    <t>France</t>
  </si>
  <si>
    <t>28-63 day</t>
  </si>
  <si>
    <t>0-28 day</t>
  </si>
  <si>
    <t>63-126 days</t>
  </si>
  <si>
    <t>28-63 days</t>
  </si>
  <si>
    <t>0-28 days</t>
  </si>
  <si>
    <t>Finishing 1</t>
  </si>
  <si>
    <t>63-98 days</t>
  </si>
  <si>
    <t>Finishing 2</t>
  </si>
  <si>
    <t>98 - 126 jours</t>
  </si>
  <si>
    <t>Single feed</t>
  </si>
  <si>
    <t>28-98 day</t>
  </si>
  <si>
    <t>63-98 day</t>
  </si>
  <si>
    <t>2.4 kg alive 84 days</t>
  </si>
  <si>
    <t>0-21 days</t>
  </si>
  <si>
    <t>Pullets</t>
  </si>
  <si>
    <t>Growers</t>
  </si>
  <si>
    <t>42-140/161 days</t>
  </si>
  <si>
    <t>0-42 days</t>
  </si>
  <si>
    <t>Laying Hen</t>
  </si>
  <si>
    <t>High level 250 to 300 eggs per year_ 2 Feeds</t>
  </si>
  <si>
    <t>Laying</t>
  </si>
  <si>
    <t>&gt;42 weeks</t>
  </si>
  <si>
    <t>Hen</t>
  </si>
  <si>
    <t>Starter laying</t>
  </si>
  <si>
    <t>&lt;42 weeks</t>
  </si>
  <si>
    <t>High level 250 to 300 eggs per year_ 3 Feeds</t>
  </si>
  <si>
    <t>41-80 weeks</t>
  </si>
  <si>
    <t xml:space="preserve">Germany </t>
  </si>
  <si>
    <t>19-40 weeks</t>
  </si>
  <si>
    <t>Low level 170 eggs per year_ 2 Feeds</t>
  </si>
  <si>
    <t>Laying hens</t>
  </si>
  <si>
    <t>One feed ans grains  no Min Max</t>
  </si>
  <si>
    <t>42 weeks</t>
  </si>
  <si>
    <t>Switzerland</t>
  </si>
  <si>
    <t>Context:</t>
  </si>
  <si>
    <t>Scenario selected:</t>
  </si>
  <si>
    <t>Tool scenario:</t>
  </si>
  <si>
    <t>Feedstuff composition:</t>
  </si>
  <si>
    <t>% cost</t>
  </si>
  <si>
    <t>Cost (€/T)</t>
  </si>
  <si>
    <t>Ration cost:</t>
  </si>
  <si>
    <t>Ration results:</t>
  </si>
  <si>
    <t>MJ/Kg</t>
  </si>
  <si>
    <t>Calcium</t>
  </si>
  <si>
    <t>g/Kg</t>
  </si>
  <si>
    <t>Sodium</t>
  </si>
  <si>
    <t>Feedstuffs - ME</t>
  </si>
  <si>
    <t>% of contribution off each feedstuff for Energy</t>
  </si>
  <si>
    <t>Feedstuffs CP</t>
  </si>
  <si>
    <t>% of contribution off each feedstuff for Proteins</t>
  </si>
  <si>
    <t>Feedstuffs LYS</t>
  </si>
  <si>
    <t>% of contribution off each feedstuff for Lysine</t>
  </si>
  <si>
    <t>Feedstuffs MET</t>
  </si>
  <si>
    <t>% of contribution off each feedstuff for Methionine</t>
  </si>
  <si>
    <t xml:space="preserve">Total </t>
  </si>
  <si>
    <t>Value scenarios</t>
  </si>
  <si>
    <t>Ligne</t>
  </si>
  <si>
    <t>Ligne filtrée</t>
  </si>
  <si>
    <t>Ligne triee</t>
  </si>
  <si>
    <t>Liste unique scenarios</t>
  </si>
  <si>
    <t>Valeur formula</t>
  </si>
  <si>
    <t>Liste unique Formula</t>
  </si>
  <si>
    <t>Protection feuille:</t>
  </si>
  <si>
    <t>ITAB</t>
  </si>
  <si>
    <t xml:space="preserve">DIS THR poultry % </t>
  </si>
  <si>
    <t>DM %</t>
  </si>
  <si>
    <t xml:space="preserve">Ash % </t>
  </si>
  <si>
    <t xml:space="preserve">LYS % </t>
  </si>
  <si>
    <t xml:space="preserve">CYS % </t>
  </si>
  <si>
    <t xml:space="preserve">MET+CYS % </t>
  </si>
  <si>
    <t xml:space="preserve">Ca g/kg </t>
  </si>
  <si>
    <t xml:space="preserve">P g/kg </t>
  </si>
  <si>
    <t xml:space="preserve">Phytate P g/kg </t>
  </si>
  <si>
    <t xml:space="preserve">Mg g/kg </t>
  </si>
  <si>
    <t xml:space="preserve">Na g/kg </t>
  </si>
  <si>
    <t xml:space="preserve">EMAn roaster MJ/Kg </t>
  </si>
  <si>
    <t xml:space="preserve">EMAn broiler MJ/kg </t>
  </si>
  <si>
    <t xml:space="preserve">DIS CYS poultry % </t>
  </si>
  <si>
    <t xml:space="preserve">DIS TRY poultry % </t>
  </si>
  <si>
    <t xml:space="preserve">Soya bean </t>
  </si>
  <si>
    <t>Individual component with low DM</t>
  </si>
  <si>
    <t>Organic table</t>
  </si>
  <si>
    <t>Metabolisable Energy</t>
  </si>
  <si>
    <t>Crude Protein</t>
  </si>
  <si>
    <t>Fiber</t>
  </si>
  <si>
    <t>Lysin</t>
  </si>
  <si>
    <t>Methionine</t>
  </si>
  <si>
    <t>Methionine+Cystine</t>
  </si>
  <si>
    <t>Threonine</t>
  </si>
  <si>
    <t xml:space="preserve">Thyptophan </t>
  </si>
  <si>
    <t>Lysin Digestible</t>
  </si>
  <si>
    <t>Methionine Digestible</t>
  </si>
  <si>
    <t>Methionine+Cystine Digestible</t>
  </si>
  <si>
    <t>Threonine Digestible</t>
  </si>
  <si>
    <t>Tryptophan Digestible</t>
  </si>
  <si>
    <t>Phosphorus</t>
  </si>
  <si>
    <t>F1_Lys DIS min</t>
  </si>
  <si>
    <t>F1_Met DIS Min</t>
  </si>
  <si>
    <t>F1_Met+Cys DIS Min</t>
  </si>
  <si>
    <t>F1_Thr DIS Min</t>
  </si>
  <si>
    <t>F1_Lys DIS Max</t>
  </si>
  <si>
    <t>F1_Met DIS Max</t>
  </si>
  <si>
    <t>F1_Met+Cys DIS Max</t>
  </si>
  <si>
    <t>Number of feedstuffs:</t>
  </si>
  <si>
    <t>F1_try tot Min</t>
  </si>
  <si>
    <t>F1_try DIS Min</t>
  </si>
  <si>
    <t>F1_try tot Max</t>
  </si>
  <si>
    <t>F1_try DIS Max</t>
  </si>
  <si>
    <t>2.4 Kg alive 63 days</t>
  </si>
  <si>
    <t>2.6 kg alive at 112 days_2 feeds</t>
  </si>
  <si>
    <t>2.6 kg alive at 126 days_3 feeds</t>
  </si>
  <si>
    <t>2.6 kg alive at 126 days_4 feeds</t>
  </si>
  <si>
    <t>2.6 kg alive at 98 days_2 feeds</t>
  </si>
  <si>
    <t>2.6 kg alive at 98 days_3 feeds</t>
  </si>
  <si>
    <t xml:space="preserve">Avail. P Hen g/kg </t>
  </si>
  <si>
    <t xml:space="preserve">Avail. P broiler g/kg </t>
  </si>
  <si>
    <t>Avail. P Hen g/kg brut</t>
  </si>
  <si>
    <t>Avail. P broiler g/kg brut</t>
  </si>
  <si>
    <t>Feeding phase</t>
  </si>
  <si>
    <t>STEP 1 : Feeding scenario</t>
  </si>
  <si>
    <t>STEP 2 : Roughage/forage intake and nutritionnal value</t>
  </si>
  <si>
    <t>Forage</t>
  </si>
  <si>
    <t>Intake 
(Kg Fresh)</t>
  </si>
  <si>
    <t>DM  (%)</t>
  </si>
  <si>
    <t>Red clover silage</t>
  </si>
  <si>
    <t>TOTAL FORAGE</t>
  </si>
  <si>
    <t>STEP 3 : Animal needs and classical ration planning</t>
  </si>
  <si>
    <t>Kg concentrate/day</t>
  </si>
  <si>
    <t>Needs</t>
  </si>
  <si>
    <t>Objective</t>
  </si>
  <si>
    <t>TOTAL NEEDS</t>
  </si>
  <si>
    <t>STEP 4 : Animal needs cover by concentrate</t>
  </si>
  <si>
    <t>TOTAL needs cover by concentrate (TOTAL NEEDS - FORAGE INTAKE)</t>
  </si>
  <si>
    <t>Objective TOTAL needs/Kg of concentrate</t>
  </si>
  <si>
    <t>STEP 5 : Nutritional recommandation for concentrate</t>
  </si>
  <si>
    <t>Copy</t>
  </si>
  <si>
    <t>Broiler_2.6 kg alive at 98 days_3 feeds_3</t>
  </si>
  <si>
    <t>Ex: List</t>
  </si>
  <si>
    <t>Grams</t>
  </si>
  <si>
    <t>Example</t>
  </si>
  <si>
    <t>2.5 Kg in 100 days</t>
  </si>
  <si>
    <t>Broiler_2.6 kg alive at 98 days_3 feeds_3_Finishing_Red clover silage</t>
  </si>
  <si>
    <t>Broiler_Broiler_2.6 kg alive at 98 days_3 feeds_3_Finishing_Red clover silage_3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</si>
</sst>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
  </numFmts>
  <fonts count="43" x14ac:knownFonts="1">
    <font>
      <sz val="11"/>
      <color theme="1"/>
      <name val="Calibri"/>
      <family val="2"/>
      <scheme val="minor"/>
    </font>
    <font>
      <sz val="10"/>
      <color theme="1"/>
      <name val="Calibri"/>
      <family val="2"/>
      <scheme val="minor"/>
    </font>
    <font>
      <sz val="10"/>
      <color theme="1"/>
      <name val="Verdana"/>
      <family val="2"/>
    </font>
    <font>
      <b/>
      <sz val="10"/>
      <name val="Verdana"/>
      <family val="2"/>
    </font>
    <font>
      <sz val="10"/>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0"/>
      <color theme="1"/>
      <name val="Calibri"/>
      <family val="2"/>
      <scheme val="minor"/>
    </font>
    <font>
      <sz val="1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1"/>
      <name val="Calibri"/>
      <family val="2"/>
      <scheme val="minor"/>
    </font>
    <font>
      <i/>
      <sz val="11"/>
      <color rgb="FFFF0000"/>
      <name val="Calibri"/>
      <family val="2"/>
      <scheme val="minor"/>
    </font>
    <font>
      <sz val="11"/>
      <color theme="0"/>
      <name val="Calibri"/>
      <family val="2"/>
      <scheme val="minor"/>
    </font>
    <font>
      <i/>
      <sz val="11"/>
      <color theme="0"/>
      <name val="Calibri"/>
      <family val="2"/>
      <scheme val="minor"/>
    </font>
    <font>
      <b/>
      <u/>
      <sz val="12"/>
      <color theme="1"/>
      <name val="Calibri"/>
      <family val="2"/>
      <scheme val="minor"/>
    </font>
    <font>
      <sz val="9"/>
      <color theme="1"/>
      <name val="Calibri"/>
      <family val="2"/>
      <scheme val="minor"/>
    </font>
    <font>
      <i/>
      <sz val="8"/>
      <color theme="1"/>
      <name val="Calibri"/>
      <family val="2"/>
      <scheme val="minor"/>
    </font>
    <font>
      <sz val="8"/>
      <name val="Calibri"/>
      <family val="2"/>
      <scheme val="minor"/>
    </font>
    <font>
      <b/>
      <sz val="16"/>
      <color rgb="FFFF0000"/>
      <name val="Calibri"/>
      <family val="2"/>
      <scheme val="minor"/>
    </font>
    <font>
      <b/>
      <sz val="18"/>
      <color theme="1"/>
      <name val="Calibri"/>
      <family val="2"/>
      <scheme val="minor"/>
    </font>
    <font>
      <sz val="10"/>
      <color rgb="FFFF0000"/>
      <name val="Calibri"/>
      <family val="2"/>
      <scheme val="minor"/>
    </font>
    <font>
      <i/>
      <sz val="10"/>
      <color rgb="FFFF0000"/>
      <name val="Calibri"/>
      <family val="2"/>
      <scheme val="minor"/>
    </font>
    <font>
      <i/>
      <sz val="11"/>
      <name val="Calibri"/>
      <family val="2"/>
      <scheme val="minor"/>
    </font>
    <font>
      <b/>
      <i/>
      <sz val="11"/>
      <color theme="0"/>
      <name val="Calibri"/>
      <family val="2"/>
      <scheme val="minor"/>
    </font>
    <font>
      <i/>
      <sz val="10"/>
      <color theme="0"/>
      <name val="Calibri"/>
      <family val="2"/>
      <scheme val="minor"/>
    </font>
    <font>
      <sz val="10"/>
      <color rgb="FFFF0000"/>
      <name val="Verdana"/>
      <family val="2"/>
    </font>
    <font>
      <b/>
      <sz val="18"/>
      <color rgb="FFFF0000"/>
      <name val="Calibri"/>
      <family val="2"/>
      <scheme val="minor"/>
    </font>
    <font>
      <b/>
      <sz val="10"/>
      <color rgb="FFFF0000"/>
      <name val="Verdana"/>
      <family val="2"/>
    </font>
    <font>
      <sz val="9"/>
      <color theme="0"/>
      <name val="Calibri"/>
      <family val="2"/>
      <scheme val="minor"/>
    </font>
    <font>
      <b/>
      <sz val="10"/>
      <name val="Calibri"/>
      <family val="2"/>
      <scheme val="minor"/>
    </font>
    <font>
      <b/>
      <sz val="12"/>
      <color theme="1"/>
      <name val="Calibri Light"/>
      <family val="2"/>
      <scheme val="major"/>
    </font>
    <font>
      <sz val="12"/>
      <color theme="1"/>
      <name val="Calibri Light"/>
      <family val="2"/>
      <scheme val="major"/>
    </font>
    <font>
      <sz val="12"/>
      <color theme="0"/>
      <name val="Calibri"/>
      <family val="2"/>
      <scheme val="minor"/>
    </font>
    <font>
      <sz val="12"/>
      <color rgb="FFFF0000"/>
      <name val="Calibri"/>
      <family val="2"/>
      <scheme val="minor"/>
    </font>
    <font>
      <b/>
      <sz val="12"/>
      <color rgb="FFFF0000"/>
      <name val="Calibri Light"/>
      <family val="2"/>
      <scheme val="major"/>
    </font>
    <font>
      <sz val="12"/>
      <name val="Calibri"/>
      <family val="2"/>
      <scheme val="minor"/>
    </font>
    <font>
      <i/>
      <sz val="12"/>
      <color theme="1"/>
      <name val="Calibri"/>
      <family val="2"/>
      <scheme val="minor"/>
    </font>
    <font>
      <i/>
      <sz val="12"/>
      <color rgb="FFFF0000"/>
      <name val="Calibri Light"/>
      <family val="2"/>
      <scheme val="major"/>
    </font>
    <font>
      <sz val="12"/>
      <color rgb="FFFF0000"/>
      <name val="Calibri Light"/>
      <family val="2"/>
      <scheme val="major"/>
    </font>
    <font>
      <i/>
      <sz val="12"/>
      <color rgb="FFFF0000"/>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bgColor indexed="64"/>
      </patternFill>
    </fill>
    <fill>
      <patternFill patternType="solid">
        <fgColor theme="9"/>
        <bgColor indexed="64"/>
      </patternFill>
    </fill>
    <fill>
      <patternFill patternType="solid">
        <fgColor rgb="FF92D050"/>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8"/>
        <bgColor indexed="64"/>
      </patternFill>
    </fill>
    <fill>
      <patternFill patternType="solid">
        <fgColor rgb="FFFFFF00"/>
        <bgColor indexed="64"/>
      </patternFill>
    </fill>
    <fill>
      <patternFill patternType="solid">
        <fgColor theme="7"/>
        <bgColor indexed="64"/>
      </patternFill>
    </fill>
    <fill>
      <patternFill patternType="solid">
        <fgColor theme="0" tint="-0.249977111117893"/>
        <bgColor indexed="64"/>
      </patternFill>
    </fill>
    <fill>
      <patternFill patternType="solid">
        <fgColor theme="5"/>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2"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right/>
      <top/>
      <bottom/>
      <diagonal style="thin">
        <color auto="1"/>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auto="1"/>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5" fillId="0" borderId="3"/>
    <xf numFmtId="9" fontId="5" fillId="0" borderId="0" applyFont="0" applyFill="0" applyBorder="0" applyAlignment="0" applyProtection="0"/>
    <xf numFmtId="44" fontId="5" fillId="0" borderId="0" applyFont="0" applyFill="0" applyBorder="0" applyAlignment="0" applyProtection="0"/>
  </cellStyleXfs>
  <cellXfs count="334">
    <xf numFmtId="0" fontId="0" fillId="0" borderId="0" xfId="0"/>
    <xf numFmtId="0" fontId="0" fillId="0" borderId="1" xfId="0" applyBorder="1" applyAlignment="1">
      <alignment horizontal="center" vertical="center"/>
    </xf>
    <xf numFmtId="0" fontId="0" fillId="0" borderId="0" xfId="0" applyBorder="1"/>
    <xf numFmtId="0" fontId="0" fillId="0" borderId="7" xfId="0" applyBorder="1"/>
    <xf numFmtId="0" fontId="0" fillId="0" borderId="9" xfId="0" applyBorder="1"/>
    <xf numFmtId="0" fontId="0" fillId="0" borderId="10" xfId="0" applyBorder="1"/>
    <xf numFmtId="0" fontId="0" fillId="0" borderId="0" xfId="0" applyAlignment="1">
      <alignment horizontal="left"/>
    </xf>
    <xf numFmtId="0" fontId="0" fillId="0" borderId="0" xfId="0"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13" xfId="0" applyBorder="1" applyAlignment="1">
      <alignment horizontal="left"/>
    </xf>
    <xf numFmtId="0" fontId="0" fillId="0" borderId="13" xfId="0" applyBorder="1"/>
    <xf numFmtId="0" fontId="11" fillId="0" borderId="14" xfId="0" applyFont="1" applyBorder="1" applyAlignment="1">
      <alignment horizontal="left" vertical="center" wrapText="1"/>
    </xf>
    <xf numFmtId="0" fontId="11"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0" fillId="0" borderId="0" xfId="0" applyBorder="1" applyAlignment="1">
      <alignment vertical="center"/>
    </xf>
    <xf numFmtId="0" fontId="0" fillId="0" borderId="0" xfId="0" applyAlignment="1">
      <alignment vertical="center"/>
    </xf>
    <xf numFmtId="0" fontId="1" fillId="0" borderId="0" xfId="0" applyFont="1"/>
    <xf numFmtId="0" fontId="1" fillId="0" borderId="0" xfId="0" applyFont="1" applyAlignment="1">
      <alignment horizontal="left"/>
    </xf>
    <xf numFmtId="0" fontId="17" fillId="0" borderId="0" xfId="0" applyFont="1" applyAlignment="1"/>
    <xf numFmtId="0" fontId="1" fillId="0" borderId="1" xfId="0" applyFont="1" applyBorder="1" applyAlignment="1">
      <alignment horizontal="left" vertical="center"/>
    </xf>
    <xf numFmtId="0" fontId="11" fillId="0" borderId="0" xfId="0" applyFont="1" applyAlignment="1"/>
    <xf numFmtId="0" fontId="11" fillId="0" borderId="0" xfId="0" applyFont="1" applyAlignment="1">
      <alignment horizontal="right"/>
    </xf>
    <xf numFmtId="0" fontId="1" fillId="0" borderId="0" xfId="0" applyNumberFormat="1" applyFont="1" applyAlignment="1">
      <alignment horizontal="left"/>
    </xf>
    <xf numFmtId="14" fontId="11" fillId="0" borderId="0" xfId="0" applyNumberFormat="1" applyFont="1" applyAlignment="1"/>
    <xf numFmtId="14" fontId="11" fillId="0" borderId="0" xfId="0" applyNumberFormat="1" applyFont="1" applyAlignment="1">
      <alignment wrapText="1"/>
    </xf>
    <xf numFmtId="44" fontId="1" fillId="0" borderId="1" xfId="3" applyNumberFormat="1" applyFont="1" applyBorder="1"/>
    <xf numFmtId="0" fontId="1" fillId="0" borderId="0" xfId="0" applyFont="1" applyAlignment="1">
      <alignment horizontal="right"/>
    </xf>
    <xf numFmtId="0" fontId="1" fillId="0" borderId="0" xfId="0" applyFont="1" applyAlignment="1">
      <alignment horizontal="center"/>
    </xf>
    <xf numFmtId="0" fontId="8" fillId="0" borderId="0" xfId="0" applyFont="1" applyAlignment="1">
      <alignment horizontal="left" vertical="center"/>
    </xf>
    <xf numFmtId="2" fontId="1" fillId="0" borderId="0" xfId="0" applyNumberFormat="1" applyFont="1"/>
    <xf numFmtId="0" fontId="0" fillId="0" borderId="14" xfId="0" applyBorder="1"/>
    <xf numFmtId="0" fontId="0" fillId="0" borderId="15" xfId="0" applyBorder="1"/>
    <xf numFmtId="0" fontId="0" fillId="0" borderId="16" xfId="0" applyBorder="1"/>
    <xf numFmtId="0" fontId="19" fillId="0" borderId="0" xfId="0" applyFont="1" applyAlignment="1">
      <alignment horizontal="center" vertical="center"/>
    </xf>
    <xf numFmtId="0" fontId="11" fillId="0" borderId="0" xfId="0" applyFont="1" applyAlignment="1">
      <alignment horizontal="right" vertical="center"/>
    </xf>
    <xf numFmtId="2" fontId="18" fillId="0" borderId="0" xfId="0" applyNumberFormat="1" applyFont="1" applyAlignment="1">
      <alignment horizontal="center"/>
    </xf>
    <xf numFmtId="2" fontId="19" fillId="0" borderId="0" xfId="0" applyNumberFormat="1" applyFont="1" applyAlignment="1">
      <alignment horizontal="center" vertical="center"/>
    </xf>
    <xf numFmtId="2" fontId="19" fillId="0" borderId="0" xfId="0" applyNumberFormat="1" applyFont="1" applyAlignment="1">
      <alignment horizontal="center"/>
    </xf>
    <xf numFmtId="0" fontId="1" fillId="9" borderId="1" xfId="0" applyFont="1" applyFill="1" applyBorder="1"/>
    <xf numFmtId="2" fontId="1" fillId="0" borderId="1" xfId="0" applyNumberFormat="1" applyFont="1" applyBorder="1" applyAlignment="1">
      <alignment horizontal="center"/>
    </xf>
    <xf numFmtId="44" fontId="1" fillId="0" borderId="0" xfId="3" applyNumberFormat="1" applyFont="1" applyBorder="1"/>
    <xf numFmtId="164" fontId="1" fillId="0" borderId="1" xfId="3" applyNumberFormat="1" applyFont="1" applyBorder="1" applyAlignment="1">
      <alignment horizontal="center"/>
    </xf>
    <xf numFmtId="164" fontId="1" fillId="0" borderId="1" xfId="2" applyNumberFormat="1" applyFont="1" applyBorder="1" applyAlignment="1">
      <alignment horizontal="center"/>
    </xf>
    <xf numFmtId="44" fontId="1" fillId="6" borderId="0" xfId="0" applyNumberFormat="1" applyFont="1" applyFill="1"/>
    <xf numFmtId="0" fontId="7" fillId="5" borderId="1" xfId="0" applyFont="1" applyFill="1" applyBorder="1" applyAlignment="1">
      <alignment vertical="center"/>
    </xf>
    <xf numFmtId="2" fontId="1" fillId="9" borderId="1" xfId="0" applyNumberFormat="1" applyFont="1" applyFill="1" applyBorder="1" applyAlignment="1">
      <alignment horizontal="center"/>
    </xf>
    <xf numFmtId="0" fontId="1" fillId="0" borderId="1" xfId="0" applyFont="1" applyBorder="1" applyAlignment="1">
      <alignment horizontal="left"/>
    </xf>
    <xf numFmtId="2" fontId="1" fillId="0" borderId="1" xfId="0" applyNumberFormat="1" applyFont="1" applyBorder="1" applyAlignment="1">
      <alignment horizontal="left"/>
    </xf>
    <xf numFmtId="2" fontId="1" fillId="9" borderId="1" xfId="0" applyNumberFormat="1" applyFont="1" applyFill="1" applyBorder="1" applyAlignment="1">
      <alignment horizontal="left"/>
    </xf>
    <xf numFmtId="0" fontId="7" fillId="5"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22" fillId="0" borderId="0" xfId="0" applyNumberFormat="1" applyFont="1" applyFill="1" applyBorder="1" applyAlignment="1">
      <alignment vertical="center"/>
    </xf>
    <xf numFmtId="0" fontId="29" fillId="0" borderId="0" xfId="0" applyNumberFormat="1" applyFont="1" applyFill="1" applyBorder="1" applyAlignment="1">
      <alignment vertical="center"/>
    </xf>
    <xf numFmtId="0" fontId="1" fillId="0" borderId="0" xfId="0" applyNumberFormat="1" applyFont="1" applyFill="1" applyBorder="1" applyAlignment="1">
      <alignment horizontal="left" wrapText="1"/>
    </xf>
    <xf numFmtId="0" fontId="1" fillId="0" borderId="0" xfId="0" applyFont="1" applyFill="1" applyBorder="1"/>
    <xf numFmtId="0" fontId="3" fillId="0" borderId="0" xfId="0" applyNumberFormat="1" applyFont="1" applyFill="1" applyBorder="1" applyAlignment="1" applyProtection="1">
      <alignment horizontal="left" vertical="center" wrapText="1"/>
      <protection hidden="1"/>
    </xf>
    <xf numFmtId="0" fontId="30" fillId="0" borderId="0" xfId="0" applyNumberFormat="1" applyFont="1" applyFill="1" applyBorder="1" applyAlignment="1" applyProtection="1">
      <alignment horizontal="left" vertical="center" wrapText="1"/>
      <protection hidden="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1" fillId="0" borderId="0" xfId="0" applyNumberFormat="1" applyFont="1" applyFill="1" applyBorder="1"/>
    <xf numFmtId="0" fontId="2" fillId="0" borderId="1" xfId="0" applyNumberFormat="1" applyFont="1" applyFill="1" applyBorder="1" applyAlignment="1" applyProtection="1">
      <alignment horizontal="left" vertical="center" wrapText="1"/>
      <protection hidden="1"/>
    </xf>
    <xf numFmtId="0" fontId="28" fillId="0" borderId="1" xfId="0" applyNumberFormat="1" applyFont="1" applyFill="1" applyBorder="1" applyAlignment="1" applyProtection="1">
      <alignment horizontal="left" vertical="center"/>
      <protection hidden="1"/>
    </xf>
    <xf numFmtId="0" fontId="2" fillId="0" borderId="1" xfId="0" applyNumberFormat="1" applyFont="1" applyFill="1" applyBorder="1" applyAlignment="1" applyProtection="1">
      <alignment horizontal="left" vertical="center"/>
      <protection hidden="1"/>
    </xf>
    <xf numFmtId="2" fontId="1" fillId="0" borderId="1" xfId="0" applyNumberFormat="1" applyFont="1" applyFill="1" applyBorder="1" applyAlignment="1">
      <alignment horizontal="center" wrapText="1"/>
    </xf>
    <xf numFmtId="2" fontId="4" fillId="0" borderId="1" xfId="0" applyNumberFormat="1" applyFont="1" applyFill="1" applyBorder="1" applyAlignment="1" applyProtection="1">
      <alignment horizontal="center" wrapText="1"/>
      <protection hidden="1"/>
    </xf>
    <xf numFmtId="0" fontId="1" fillId="0" borderId="1" xfId="0" applyNumberFormat="1" applyFont="1" applyFill="1" applyBorder="1" applyAlignment="1">
      <alignment horizontal="left" wrapText="1"/>
    </xf>
    <xf numFmtId="2" fontId="1" fillId="0" borderId="1" xfId="0" applyNumberFormat="1" applyFont="1" applyFill="1" applyBorder="1" applyAlignment="1" applyProtection="1">
      <alignment horizontal="center" wrapText="1"/>
      <protection hidden="1"/>
    </xf>
    <xf numFmtId="0" fontId="1" fillId="0" borderId="0" xfId="0" applyFont="1" applyFill="1" applyBorder="1" applyAlignment="1">
      <alignment vertical="center"/>
    </xf>
    <xf numFmtId="2"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wrapText="1"/>
    </xf>
    <xf numFmtId="2" fontId="1" fillId="0" borderId="17" xfId="0" applyNumberFormat="1" applyFont="1" applyFill="1" applyBorder="1" applyAlignment="1">
      <alignment horizontal="center" wrapText="1"/>
    </xf>
    <xf numFmtId="2" fontId="4" fillId="0" borderId="1" xfId="0" applyNumberFormat="1" applyFont="1" applyFill="1" applyBorder="1" applyAlignment="1">
      <alignment horizontal="center" wrapText="1"/>
    </xf>
    <xf numFmtId="0" fontId="2" fillId="0" borderId="17" xfId="0" applyNumberFormat="1" applyFont="1" applyFill="1" applyBorder="1" applyAlignment="1" applyProtection="1">
      <alignment horizontal="left" vertical="center" wrapText="1"/>
      <protection hidden="1"/>
    </xf>
    <xf numFmtId="0" fontId="28" fillId="0" borderId="17" xfId="0" applyNumberFormat="1" applyFont="1" applyFill="1" applyBorder="1" applyAlignment="1" applyProtection="1">
      <alignment horizontal="left" vertical="center"/>
      <protection hidden="1"/>
    </xf>
    <xf numFmtId="0" fontId="2" fillId="0" borderId="17" xfId="0" applyNumberFormat="1" applyFont="1" applyFill="1" applyBorder="1" applyAlignment="1" applyProtection="1">
      <alignment horizontal="left" vertical="center"/>
      <protection hidden="1"/>
    </xf>
    <xf numFmtId="0" fontId="1" fillId="0" borderId="17" xfId="0" applyNumberFormat="1" applyFont="1" applyFill="1" applyBorder="1" applyAlignment="1">
      <alignment horizontal="left" wrapText="1"/>
    </xf>
    <xf numFmtId="0" fontId="23" fillId="0" borderId="0" xfId="0" applyNumberFormat="1" applyFont="1" applyFill="1" applyBorder="1"/>
    <xf numFmtId="2" fontId="1" fillId="0" borderId="0" xfId="0" applyNumberFormat="1" applyFont="1" applyFill="1" applyBorder="1" applyAlignment="1">
      <alignment horizontal="center" wrapText="1"/>
    </xf>
    <xf numFmtId="2" fontId="22" fillId="0" borderId="0" xfId="0" applyNumberFormat="1" applyFont="1" applyFill="1" applyBorder="1" applyAlignment="1">
      <alignment horizontal="center" vertical="center" wrapText="1"/>
    </xf>
    <xf numFmtId="0" fontId="9" fillId="0" borderId="1" xfId="0" applyFont="1" applyFill="1" applyBorder="1" applyAlignment="1"/>
    <xf numFmtId="0" fontId="9" fillId="0" borderId="1" xfId="0" applyFont="1" applyFill="1" applyBorder="1" applyAlignment="1">
      <alignment horizontal="center"/>
    </xf>
    <xf numFmtId="0" fontId="9" fillId="0" borderId="1" xfId="0" applyFont="1" applyFill="1" applyBorder="1" applyAlignment="1">
      <alignment horizontal="left"/>
    </xf>
    <xf numFmtId="16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2" fontId="9" fillId="0" borderId="1" xfId="0" applyNumberFormat="1" applyFont="1" applyFill="1" applyBorder="1" applyAlignment="1">
      <alignment horizontal="center" vertical="center"/>
    </xf>
    <xf numFmtId="2" fontId="0" fillId="0" borderId="1" xfId="0" applyNumberFormat="1" applyFill="1" applyBorder="1" applyAlignment="1">
      <alignment horizontal="left" vertical="center"/>
    </xf>
    <xf numFmtId="0" fontId="0" fillId="0" borderId="0" xfId="0" applyFill="1" applyBorder="1" applyAlignment="1"/>
    <xf numFmtId="0" fontId="0" fillId="0" borderId="1" xfId="0" applyFont="1" applyFill="1" applyBorder="1" applyAlignment="1"/>
    <xf numFmtId="0" fontId="0" fillId="0" borderId="1" xfId="0" applyFont="1" applyFill="1" applyBorder="1" applyAlignment="1">
      <alignment horizontal="center"/>
    </xf>
    <xf numFmtId="0" fontId="0" fillId="0" borderId="1" xfId="0" applyFont="1" applyFill="1" applyBorder="1" applyAlignment="1">
      <alignment horizontal="left"/>
    </xf>
    <xf numFmtId="0" fontId="0" fillId="0" borderId="1" xfId="0" applyFont="1" applyFill="1" applyBorder="1" applyAlignment="1">
      <alignment horizontal="center" vertical="center"/>
    </xf>
    <xf numFmtId="2" fontId="0"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2" fontId="0" fillId="0" borderId="1" xfId="0" applyNumberFormat="1" applyFill="1" applyBorder="1" applyAlignment="1">
      <alignment horizontal="center" vertical="center"/>
    </xf>
    <xf numFmtId="2" fontId="9" fillId="0" borderId="1" xfId="0" applyNumberFormat="1" applyFont="1" applyFill="1" applyBorder="1" applyAlignment="1">
      <alignment horizontal="left" vertical="center"/>
    </xf>
    <xf numFmtId="0" fontId="0" fillId="0" borderId="1" xfId="0" applyFill="1" applyBorder="1" applyAlignment="1"/>
    <xf numFmtId="0" fontId="0" fillId="0" borderId="1" xfId="0" applyFill="1" applyBorder="1" applyAlignment="1">
      <alignment horizontal="center"/>
    </xf>
    <xf numFmtId="0" fontId="0" fillId="0" borderId="1" xfId="0" applyFill="1" applyBorder="1" applyAlignment="1">
      <alignment horizontal="left"/>
    </xf>
    <xf numFmtId="164" fontId="0" fillId="0" borderId="1" xfId="0" applyNumberForma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left"/>
    </xf>
    <xf numFmtId="0" fontId="0" fillId="0" borderId="1" xfId="0" applyNumberFormat="1" applyFill="1" applyBorder="1" applyAlignment="1"/>
    <xf numFmtId="0" fontId="0" fillId="0" borderId="17" xfId="0" applyFill="1" applyBorder="1" applyAlignment="1"/>
    <xf numFmtId="0" fontId="0" fillId="0" borderId="17" xfId="0" applyNumberFormat="1" applyFill="1" applyBorder="1" applyAlignment="1"/>
    <xf numFmtId="0" fontId="0" fillId="0" borderId="17" xfId="0" applyFill="1" applyBorder="1" applyAlignment="1">
      <alignment horizontal="center"/>
    </xf>
    <xf numFmtId="0" fontId="0" fillId="0" borderId="17" xfId="0" applyFill="1" applyBorder="1" applyAlignment="1">
      <alignment horizontal="left"/>
    </xf>
    <xf numFmtId="0" fontId="0" fillId="0" borderId="17" xfId="0" applyFill="1" applyBorder="1" applyAlignment="1">
      <alignment horizontal="center" vertical="center"/>
    </xf>
    <xf numFmtId="2" fontId="0" fillId="0" borderId="17" xfId="0" applyNumberFormat="1" applyFill="1" applyBorder="1" applyAlignment="1">
      <alignment horizontal="center" vertical="center"/>
    </xf>
    <xf numFmtId="2" fontId="0" fillId="0" borderId="17" xfId="0" applyNumberFormat="1" applyFill="1" applyBorder="1" applyAlignment="1">
      <alignment horizontal="left" vertical="center"/>
    </xf>
    <xf numFmtId="2" fontId="1" fillId="11" borderId="1" xfId="2" applyNumberFormat="1" applyFont="1" applyFill="1" applyBorder="1" applyAlignment="1" applyProtection="1">
      <alignment horizontal="center"/>
    </xf>
    <xf numFmtId="2" fontId="1" fillId="10" borderId="1" xfId="0" applyNumberFormat="1" applyFont="1" applyFill="1" applyBorder="1" applyAlignment="1" applyProtection="1">
      <alignment horizontal="center"/>
    </xf>
    <xf numFmtId="2" fontId="1" fillId="10" borderId="1" xfId="0" applyNumberFormat="1" applyFont="1" applyFill="1" applyBorder="1" applyAlignment="1" applyProtection="1">
      <alignment horizontal="center" vertical="center"/>
    </xf>
    <xf numFmtId="0" fontId="6" fillId="0" borderId="0" xfId="0" applyFont="1" applyFill="1" applyBorder="1" applyAlignment="1" applyProtection="1">
      <alignment horizontal="left"/>
    </xf>
    <xf numFmtId="10" fontId="31" fillId="0" borderId="0" xfId="2" applyNumberFormat="1" applyFont="1" applyBorder="1" applyAlignment="1" applyProtection="1">
      <alignment horizontal="center"/>
    </xf>
    <xf numFmtId="0" fontId="1" fillId="0" borderId="0" xfId="0" applyFont="1" applyBorder="1" applyAlignment="1" applyProtection="1">
      <alignment horizontal="center" wrapText="1"/>
    </xf>
    <xf numFmtId="0" fontId="7" fillId="6" borderId="1" xfId="0" applyFont="1" applyFill="1" applyBorder="1" applyAlignment="1" applyProtection="1">
      <alignment horizontal="center" wrapText="1"/>
    </xf>
    <xf numFmtId="0" fontId="7" fillId="5" borderId="1" xfId="0" applyFont="1" applyFill="1" applyBorder="1" applyAlignment="1" applyProtection="1">
      <alignment horizontal="center" wrapText="1"/>
    </xf>
    <xf numFmtId="0" fontId="12" fillId="6" borderId="1" xfId="0" applyFont="1" applyFill="1" applyBorder="1" applyAlignment="1" applyProtection="1">
      <alignment horizontal="center"/>
    </xf>
    <xf numFmtId="0" fontId="15" fillId="0" borderId="0" xfId="0" applyFont="1" applyFill="1" applyBorder="1" applyAlignment="1" applyProtection="1">
      <alignment horizontal="center"/>
    </xf>
    <xf numFmtId="0" fontId="0" fillId="0" borderId="0" xfId="0" applyProtection="1"/>
    <xf numFmtId="0" fontId="0" fillId="0" borderId="0"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7" xfId="0" applyBorder="1" applyProtection="1"/>
    <xf numFmtId="0" fontId="10" fillId="6" borderId="0" xfId="0" applyFont="1" applyFill="1" applyBorder="1" applyAlignment="1" applyProtection="1">
      <alignment horizontal="right"/>
    </xf>
    <xf numFmtId="0" fontId="0" fillId="6" borderId="0" xfId="0" applyFill="1" applyBorder="1" applyProtection="1"/>
    <xf numFmtId="0" fontId="0" fillId="0" borderId="8" xfId="0" applyBorder="1" applyProtection="1"/>
    <xf numFmtId="0" fontId="15" fillId="0" borderId="0" xfId="0" applyFont="1" applyBorder="1" applyProtection="1"/>
    <xf numFmtId="0" fontId="9" fillId="0" borderId="0" xfId="0" applyFont="1" applyFill="1" applyBorder="1" applyProtection="1"/>
    <xf numFmtId="0" fontId="0" fillId="0" borderId="0" xfId="0" applyFill="1" applyBorder="1" applyProtection="1"/>
    <xf numFmtId="0" fontId="8" fillId="0" borderId="0" xfId="0" applyFont="1" applyFill="1" applyBorder="1" applyProtection="1"/>
    <xf numFmtId="0" fontId="24" fillId="0" borderId="0" xfId="0" applyFont="1" applyFill="1" applyBorder="1" applyProtection="1"/>
    <xf numFmtId="0" fontId="21" fillId="0" borderId="0" xfId="0" applyFont="1" applyBorder="1" applyAlignment="1" applyProtection="1">
      <alignment horizontal="center"/>
    </xf>
    <xf numFmtId="0" fontId="10" fillId="7" borderId="1" xfId="0" applyFont="1" applyFill="1" applyBorder="1" applyAlignment="1" applyProtection="1">
      <alignment horizontal="center"/>
    </xf>
    <xf numFmtId="0" fontId="9" fillId="0" borderId="0" xfId="0" applyFont="1" applyFill="1" applyBorder="1" applyAlignment="1" applyProtection="1">
      <alignment vertical="center"/>
    </xf>
    <xf numFmtId="0" fontId="0" fillId="0" borderId="0" xfId="0" applyFont="1" applyFill="1" applyBorder="1" applyProtection="1"/>
    <xf numFmtId="0" fontId="21" fillId="0" borderId="0" xfId="0" applyFont="1" applyFill="1" applyBorder="1" applyAlignment="1" applyProtection="1">
      <alignment horizontal="center"/>
    </xf>
    <xf numFmtId="0" fontId="0" fillId="0" borderId="7" xfId="0" applyBorder="1" applyAlignment="1" applyProtection="1">
      <alignment vertical="center"/>
    </xf>
    <xf numFmtId="0" fontId="0" fillId="0" borderId="0" xfId="0" applyBorder="1" applyAlignment="1" applyProtection="1">
      <alignment vertical="center"/>
    </xf>
    <xf numFmtId="0" fontId="16" fillId="0" borderId="0" xfId="0" applyFont="1" applyFill="1" applyBorder="1" applyAlignment="1" applyProtection="1">
      <alignment horizontal="center" vertical="center"/>
    </xf>
    <xf numFmtId="0" fontId="15" fillId="0" borderId="0" xfId="0" applyFont="1" applyBorder="1" applyAlignment="1" applyProtection="1">
      <alignment vertical="center"/>
    </xf>
    <xf numFmtId="0" fontId="15" fillId="0" borderId="0" xfId="0" applyFont="1" applyFill="1" applyBorder="1" applyAlignment="1" applyProtection="1">
      <alignment vertical="center"/>
    </xf>
    <xf numFmtId="0" fontId="0" fillId="0" borderId="0" xfId="0" applyFill="1" applyBorder="1" applyAlignment="1" applyProtection="1">
      <alignment vertical="center"/>
    </xf>
    <xf numFmtId="0" fontId="13" fillId="0" borderId="0" xfId="0" applyNumberFormat="1" applyFont="1" applyFill="1" applyBorder="1" applyAlignment="1" applyProtection="1">
      <alignment vertical="center" wrapText="1"/>
    </xf>
    <xf numFmtId="0" fontId="0" fillId="0" borderId="8" xfId="0" applyBorder="1" applyAlignment="1" applyProtection="1">
      <alignment vertical="center"/>
    </xf>
    <xf numFmtId="0" fontId="0" fillId="0" borderId="0" xfId="0" applyAlignment="1" applyProtection="1">
      <alignment vertical="center"/>
    </xf>
    <xf numFmtId="0" fontId="0" fillId="0" borderId="7"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7" fillId="6" borderId="1" xfId="0" applyFont="1" applyFill="1" applyBorder="1" applyAlignment="1" applyProtection="1">
      <alignment horizontal="left" vertical="center" wrapText="1"/>
    </xf>
    <xf numFmtId="0" fontId="7" fillId="6" borderId="1" xfId="0" applyFont="1" applyFill="1" applyBorder="1" applyAlignment="1" applyProtection="1">
      <alignment horizontal="center" vertical="center" wrapText="1"/>
    </xf>
    <xf numFmtId="0" fontId="13" fillId="6" borderId="1" xfId="0" applyNumberFormat="1" applyFont="1" applyFill="1" applyBorder="1" applyAlignment="1" applyProtection="1">
      <alignment horizontal="center" vertical="center" wrapText="1"/>
    </xf>
    <xf numFmtId="0" fontId="13" fillId="5" borderId="1" xfId="0" applyNumberFormat="1" applyFont="1" applyFill="1" applyBorder="1" applyAlignment="1" applyProtection="1">
      <alignment horizontal="center" vertical="center" wrapText="1"/>
    </xf>
    <xf numFmtId="0" fontId="13" fillId="5" borderId="2" xfId="0" applyNumberFormat="1" applyFont="1" applyFill="1" applyBorder="1" applyAlignment="1" applyProtection="1">
      <alignment horizontal="center" vertical="center" wrapText="1"/>
    </xf>
    <xf numFmtId="0" fontId="3" fillId="5" borderId="1" xfId="0" applyNumberFormat="1" applyFont="1" applyFill="1" applyBorder="1" applyAlignment="1" applyProtection="1">
      <alignment horizontal="center" vertical="center" wrapText="1"/>
    </xf>
    <xf numFmtId="0" fontId="3" fillId="6" borderId="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26" fillId="0" borderId="8" xfId="0" applyNumberFormat="1" applyFont="1" applyFill="1" applyBorder="1" applyAlignment="1" applyProtection="1">
      <alignment horizontal="center" vertical="center" wrapText="1"/>
    </xf>
    <xf numFmtId="0" fontId="3" fillId="3" borderId="1" xfId="0" applyNumberFormat="1" applyFont="1" applyFill="1" applyBorder="1" applyAlignment="1" applyProtection="1">
      <alignment horizontal="center" vertical="center" wrapText="1"/>
    </xf>
    <xf numFmtId="0" fontId="3" fillId="4" borderId="1" xfId="0" applyNumberFormat="1"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6" borderId="1" xfId="0" applyFill="1" applyBorder="1" applyProtection="1"/>
    <xf numFmtId="0" fontId="1" fillId="8" borderId="1" xfId="0" applyFont="1" applyFill="1" applyBorder="1" applyProtection="1"/>
    <xf numFmtId="2" fontId="1" fillId="6" borderId="1" xfId="2" applyNumberFormat="1" applyFont="1" applyFill="1" applyBorder="1" applyAlignment="1" applyProtection="1">
      <alignment horizontal="center"/>
    </xf>
    <xf numFmtId="2" fontId="1" fillId="10" borderId="2" xfId="0" applyNumberFormat="1" applyFont="1" applyFill="1" applyBorder="1" applyAlignment="1" applyProtection="1">
      <alignment horizontal="center" vertical="center"/>
    </xf>
    <xf numFmtId="2" fontId="1" fillId="0" borderId="0" xfId="0" applyNumberFormat="1" applyFont="1" applyFill="1" applyBorder="1" applyAlignment="1" applyProtection="1">
      <alignment horizontal="center" vertical="center"/>
    </xf>
    <xf numFmtId="2" fontId="1" fillId="7" borderId="1" xfId="0" applyNumberFormat="1" applyFont="1" applyFill="1" applyBorder="1" applyAlignment="1" applyProtection="1">
      <alignment horizontal="center" vertical="center"/>
    </xf>
    <xf numFmtId="2" fontId="4" fillId="10" borderId="1" xfId="0" applyNumberFormat="1" applyFont="1" applyFill="1" applyBorder="1" applyAlignment="1" applyProtection="1">
      <alignment horizontal="center" vertical="center"/>
    </xf>
    <xf numFmtId="44" fontId="1" fillId="7" borderId="1" xfId="3" applyFont="1" applyFill="1" applyBorder="1" applyAlignment="1" applyProtection="1">
      <alignment horizontal="center" vertical="center"/>
    </xf>
    <xf numFmtId="44" fontId="1" fillId="10" borderId="1" xfId="3" applyFont="1" applyFill="1" applyBorder="1" applyAlignment="1" applyProtection="1">
      <alignment horizontal="center" vertical="center"/>
    </xf>
    <xf numFmtId="2" fontId="27" fillId="0" borderId="8" xfId="2"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0" fillId="0" borderId="8" xfId="0" applyFill="1" applyBorder="1" applyProtection="1"/>
    <xf numFmtId="0" fontId="7" fillId="6" borderId="1" xfId="0" applyFont="1" applyFill="1" applyBorder="1" applyAlignment="1" applyProtection="1">
      <alignment horizontal="right"/>
    </xf>
    <xf numFmtId="2" fontId="1" fillId="0" borderId="19" xfId="0" applyNumberFormat="1" applyFont="1" applyFill="1" applyBorder="1" applyAlignment="1" applyProtection="1">
      <alignment horizontal="center" vertical="center"/>
    </xf>
    <xf numFmtId="44" fontId="1" fillId="0" borderId="0" xfId="3" applyFont="1" applyFill="1" applyBorder="1" applyAlignment="1" applyProtection="1">
      <alignment horizontal="center" vertical="center"/>
    </xf>
    <xf numFmtId="44" fontId="1" fillId="0" borderId="8" xfId="3" applyFont="1" applyFill="1" applyBorder="1" applyAlignment="1" applyProtection="1">
      <alignment horizontal="center" vertical="center"/>
    </xf>
    <xf numFmtId="0" fontId="14" fillId="0" borderId="0" xfId="0" applyFont="1" applyFill="1" applyBorder="1" applyAlignment="1" applyProtection="1">
      <alignment horizontal="right"/>
    </xf>
    <xf numFmtId="2" fontId="23" fillId="0" borderId="0" xfId="0" applyNumberFormat="1" applyFont="1" applyFill="1" applyBorder="1" applyAlignment="1" applyProtection="1">
      <alignment horizontal="center" vertical="center"/>
    </xf>
    <xf numFmtId="0" fontId="0" fillId="0" borderId="7" xfId="0" applyBorder="1" applyAlignment="1" applyProtection="1">
      <alignment wrapText="1"/>
    </xf>
    <xf numFmtId="0" fontId="0" fillId="0" borderId="0" xfId="0" applyBorder="1" applyAlignment="1" applyProtection="1">
      <alignment wrapText="1"/>
    </xf>
    <xf numFmtId="0" fontId="7" fillId="0" borderId="0" xfId="0" applyFont="1" applyFill="1" applyBorder="1" applyAlignment="1" applyProtection="1">
      <alignment horizontal="center" wrapText="1"/>
    </xf>
    <xf numFmtId="0" fontId="0" fillId="0" borderId="0" xfId="0" applyFill="1" applyBorder="1" applyAlignment="1" applyProtection="1">
      <alignment wrapText="1"/>
    </xf>
    <xf numFmtId="44" fontId="0" fillId="10" borderId="1" xfId="0" applyNumberFormat="1" applyFill="1" applyBorder="1" applyAlignment="1" applyProtection="1">
      <alignment horizontal="center" vertical="center" wrapText="1"/>
    </xf>
    <xf numFmtId="44" fontId="0" fillId="0" borderId="8" xfId="0" applyNumberFormat="1" applyFill="1" applyBorder="1" applyAlignment="1" applyProtection="1">
      <alignment horizontal="center" vertical="center" wrapText="1"/>
    </xf>
    <xf numFmtId="0" fontId="0" fillId="0" borderId="0" xfId="0" applyAlignment="1" applyProtection="1">
      <alignment wrapText="1"/>
    </xf>
    <xf numFmtId="0" fontId="1" fillId="0" borderId="0" xfId="0" applyFont="1" applyBorder="1" applyAlignment="1" applyProtection="1">
      <alignment horizontal="center"/>
    </xf>
    <xf numFmtId="0" fontId="0" fillId="0" borderId="9" xfId="0" applyBorder="1" applyProtection="1"/>
    <xf numFmtId="0" fontId="0" fillId="0" borderId="10" xfId="0" applyBorder="1" applyProtection="1"/>
    <xf numFmtId="10" fontId="0" fillId="0" borderId="10" xfId="2" applyNumberFormat="1" applyFont="1" applyBorder="1" applyAlignment="1" applyProtection="1">
      <alignment horizontal="center"/>
    </xf>
    <xf numFmtId="0" fontId="0" fillId="0" borderId="11" xfId="0" applyBorder="1" applyProtection="1"/>
    <xf numFmtId="9" fontId="0" fillId="0" borderId="0" xfId="2" applyFont="1" applyProtection="1"/>
    <xf numFmtId="2" fontId="9" fillId="2" borderId="0" xfId="2" applyNumberFormat="1" applyFont="1" applyFill="1" applyBorder="1" applyAlignment="1" applyProtection="1">
      <alignment horizontal="left"/>
    </xf>
    <xf numFmtId="2" fontId="0" fillId="7" borderId="1" xfId="2" applyNumberFormat="1" applyFont="1" applyFill="1" applyBorder="1" applyAlignment="1" applyProtection="1">
      <alignment horizontal="center"/>
    </xf>
    <xf numFmtId="0" fontId="32" fillId="5" borderId="1" xfId="0" applyNumberFormat="1" applyFont="1" applyFill="1" applyBorder="1" applyAlignment="1" applyProtection="1">
      <alignment horizontal="center" vertical="center" wrapText="1"/>
    </xf>
    <xf numFmtId="0" fontId="32" fillId="6" borderId="1" xfId="0" applyNumberFormat="1" applyFont="1" applyFill="1" applyBorder="1" applyAlignment="1" applyProtection="1">
      <alignment horizontal="center" vertical="center" wrapText="1"/>
    </xf>
    <xf numFmtId="2" fontId="4" fillId="0" borderId="17" xfId="0" applyNumberFormat="1" applyFont="1" applyFill="1" applyBorder="1" applyAlignment="1">
      <alignment horizontal="center" wrapText="1"/>
    </xf>
    <xf numFmtId="2" fontId="4" fillId="0" borderId="0" xfId="0" applyNumberFormat="1" applyFont="1" applyFill="1" applyBorder="1" applyAlignment="1">
      <alignment horizontal="center" wrapText="1"/>
    </xf>
    <xf numFmtId="0" fontId="4" fillId="0" borderId="0" xfId="0" applyFont="1" applyFill="1" applyBorder="1"/>
    <xf numFmtId="0" fontId="1" fillId="0" borderId="1" xfId="0" applyNumberFormat="1" applyFont="1" applyFill="1" applyBorder="1" applyAlignment="1" applyProtection="1">
      <alignment horizontal="left" vertical="center" wrapText="1"/>
      <protection hidden="1"/>
    </xf>
    <xf numFmtId="0" fontId="23" fillId="0" borderId="1" xfId="0" applyNumberFormat="1" applyFont="1" applyFill="1" applyBorder="1" applyAlignment="1" applyProtection="1">
      <alignment horizontal="left" vertical="center"/>
      <protection hidden="1"/>
    </xf>
    <xf numFmtId="0" fontId="1" fillId="0" borderId="1" xfId="0" applyNumberFormat="1" applyFont="1" applyFill="1" applyBorder="1" applyAlignment="1" applyProtection="1">
      <alignment horizontal="left" vertical="center"/>
      <protection hidden="1"/>
    </xf>
    <xf numFmtId="0" fontId="4" fillId="0" borderId="1" xfId="0" applyNumberFormat="1" applyFont="1" applyFill="1" applyBorder="1" applyAlignment="1" applyProtection="1">
      <alignment horizontal="left" vertical="center"/>
      <protection hidden="1"/>
    </xf>
    <xf numFmtId="0" fontId="4" fillId="0" borderId="1" xfId="0" applyNumberFormat="1" applyFont="1" applyFill="1" applyBorder="1" applyAlignment="1" applyProtection="1">
      <alignment horizontal="left" vertical="center" wrapText="1"/>
      <protection hidden="1"/>
    </xf>
    <xf numFmtId="2" fontId="1" fillId="0" borderId="1" xfId="0" applyNumberFormat="1" applyFont="1" applyFill="1" applyBorder="1" applyAlignment="1" applyProtection="1">
      <alignment horizontal="center" vertical="center" wrapText="1"/>
      <protection hidden="1"/>
    </xf>
    <xf numFmtId="0" fontId="4" fillId="0" borderId="1" xfId="0" applyNumberFormat="1" applyFont="1" applyFill="1" applyBorder="1" applyAlignment="1" applyProtection="1">
      <alignment horizontal="left" wrapText="1"/>
      <protection hidden="1"/>
    </xf>
    <xf numFmtId="0" fontId="13" fillId="12" borderId="1" xfId="0" applyFont="1" applyFill="1" applyBorder="1" applyAlignment="1">
      <alignment vertical="center" wrapText="1"/>
    </xf>
    <xf numFmtId="0" fontId="13" fillId="12" borderId="1" xfId="0" applyFont="1" applyFill="1" applyBorder="1" applyAlignment="1">
      <alignment horizontal="center" vertical="center" wrapText="1"/>
    </xf>
    <xf numFmtId="0" fontId="13" fillId="12" borderId="1" xfId="0" applyFont="1" applyFill="1" applyBorder="1" applyAlignment="1">
      <alignment horizontal="left" vertical="center" wrapText="1"/>
    </xf>
    <xf numFmtId="0" fontId="13" fillId="12" borderId="18" xfId="0" applyFont="1" applyFill="1" applyBorder="1" applyAlignment="1">
      <alignment horizontal="left" vertical="center" wrapText="1"/>
    </xf>
    <xf numFmtId="0" fontId="13" fillId="12" borderId="0" xfId="0" applyFont="1" applyFill="1" applyBorder="1" applyAlignment="1">
      <alignment vertical="center" wrapText="1"/>
    </xf>
    <xf numFmtId="1" fontId="10" fillId="7" borderId="1" xfId="0" applyNumberFormat="1" applyFont="1" applyFill="1" applyBorder="1" applyAlignment="1" applyProtection="1">
      <alignment horizontal="center"/>
    </xf>
    <xf numFmtId="0" fontId="10" fillId="7" borderId="1" xfId="0" applyNumberFormat="1" applyFont="1" applyFill="1" applyBorder="1" applyAlignment="1" applyProtection="1">
      <alignment horizontal="center"/>
    </xf>
    <xf numFmtId="14" fontId="10" fillId="7" borderId="1" xfId="0" applyNumberFormat="1" applyFont="1" applyFill="1" applyBorder="1" applyAlignment="1" applyProtection="1">
      <alignment horizontal="center"/>
    </xf>
    <xf numFmtId="0" fontId="0" fillId="8" borderId="1" xfId="0" applyFill="1" applyBorder="1" applyAlignment="1" applyProtection="1">
      <alignment horizontal="center"/>
    </xf>
    <xf numFmtId="0" fontId="0" fillId="10" borderId="1" xfId="0" applyFill="1" applyBorder="1" applyAlignment="1" applyProtection="1">
      <alignment horizontal="center"/>
    </xf>
    <xf numFmtId="0" fontId="10" fillId="7" borderId="1" xfId="0" applyFont="1" applyFill="1" applyBorder="1" applyAlignment="1" applyProtection="1">
      <alignment horizontal="center"/>
    </xf>
    <xf numFmtId="2" fontId="22" fillId="0" borderId="0" xfId="0" applyNumberFormat="1" applyFont="1" applyFill="1" applyBorder="1" applyAlignment="1">
      <alignment horizontal="center" vertical="center" wrapText="1"/>
    </xf>
    <xf numFmtId="2" fontId="22" fillId="0" borderId="0" xfId="0" applyNumberFormat="1" applyFont="1" applyFill="1" applyBorder="1" applyAlignment="1">
      <alignment horizontal="center" vertical="center"/>
    </xf>
    <xf numFmtId="0" fontId="11" fillId="16" borderId="23"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33" fillId="0" borderId="20" xfId="0" applyFont="1" applyBorder="1" applyAlignment="1">
      <alignment horizontal="right" vertical="center" wrapText="1"/>
    </xf>
    <xf numFmtId="0" fontId="33" fillId="20" borderId="13" xfId="0" applyFont="1" applyFill="1" applyBorder="1" applyAlignment="1">
      <alignment horizontal="center" vertical="center"/>
    </xf>
    <xf numFmtId="0" fontId="33" fillId="20" borderId="26" xfId="0" applyFont="1" applyFill="1" applyBorder="1" applyAlignment="1">
      <alignment horizontal="center" vertical="center"/>
    </xf>
    <xf numFmtId="0" fontId="11" fillId="14" borderId="23" xfId="0" applyFont="1" applyFill="1" applyBorder="1" applyAlignment="1">
      <alignment horizontal="center" vertical="center" wrapText="1"/>
    </xf>
    <xf numFmtId="0" fontId="10" fillId="8" borderId="21" xfId="0" applyFont="1" applyFill="1" applyBorder="1" applyAlignment="1" applyProtection="1">
      <alignment horizontal="center" vertical="center"/>
    </xf>
    <xf numFmtId="0" fontId="10" fillId="8" borderId="1" xfId="0" applyFont="1" applyFill="1" applyBorder="1" applyAlignment="1" applyProtection="1">
      <alignment horizontal="center" vertical="center"/>
    </xf>
    <xf numFmtId="0" fontId="10" fillId="0" borderId="0" xfId="0" applyFont="1"/>
    <xf numFmtId="0" fontId="10" fillId="0" borderId="0" xfId="0" applyFont="1" applyFill="1"/>
    <xf numFmtId="0" fontId="10" fillId="7" borderId="21" xfId="0" applyFont="1" applyFill="1" applyBorder="1" applyAlignment="1">
      <alignment horizontal="center" vertical="center"/>
    </xf>
    <xf numFmtId="0" fontId="10" fillId="0" borderId="5" xfId="0" applyFont="1" applyBorder="1"/>
    <xf numFmtId="0" fontId="10" fillId="0" borderId="6" xfId="0" applyFont="1" applyBorder="1"/>
    <xf numFmtId="0" fontId="10" fillId="0" borderId="0" xfId="0" applyFont="1" applyFill="1" applyBorder="1" applyProtection="1"/>
    <xf numFmtId="0" fontId="11" fillId="14" borderId="13" xfId="0" applyFont="1" applyFill="1" applyBorder="1" applyAlignment="1">
      <alignment horizontal="center" vertical="center"/>
    </xf>
    <xf numFmtId="0" fontId="10" fillId="7" borderId="1" xfId="0" applyFont="1" applyFill="1" applyBorder="1" applyAlignment="1">
      <alignment horizontal="center"/>
    </xf>
    <xf numFmtId="0" fontId="10" fillId="0" borderId="0" xfId="0" applyFont="1" applyBorder="1"/>
    <xf numFmtId="0" fontId="10" fillId="0" borderId="8" xfId="0" applyFont="1" applyBorder="1"/>
    <xf numFmtId="14" fontId="10" fillId="7" borderId="1" xfId="0" applyNumberFormat="1" applyFont="1" applyFill="1" applyBorder="1" applyAlignment="1">
      <alignment horizontal="center" vertical="center" wrapText="1"/>
    </xf>
    <xf numFmtId="0" fontId="10" fillId="7" borderId="1" xfId="0" applyFont="1" applyFill="1" applyBorder="1" applyAlignment="1">
      <alignment horizontal="center" vertical="center" wrapText="1"/>
    </xf>
    <xf numFmtId="0" fontId="35" fillId="0" borderId="0"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vertical="center"/>
    </xf>
    <xf numFmtId="0" fontId="10" fillId="0" borderId="0" xfId="0" applyFont="1" applyAlignment="1">
      <alignment vertical="center"/>
    </xf>
    <xf numFmtId="0" fontId="11" fillId="14" borderId="26" xfId="0" applyFont="1" applyFill="1" applyBorder="1" applyAlignment="1">
      <alignment horizontal="center" vertical="center"/>
    </xf>
    <xf numFmtId="0" fontId="10" fillId="7" borderId="30" xfId="0" applyFont="1" applyFill="1" applyBorder="1" applyAlignment="1">
      <alignment horizontal="center"/>
    </xf>
    <xf numFmtId="0" fontId="10" fillId="0" borderId="10" xfId="0" applyFont="1" applyBorder="1"/>
    <xf numFmtId="0" fontId="35" fillId="0" borderId="10" xfId="0" applyFont="1" applyBorder="1"/>
    <xf numFmtId="0" fontId="36" fillId="0" borderId="10" xfId="0" applyFont="1" applyBorder="1"/>
    <xf numFmtId="0" fontId="10" fillId="0" borderId="11" xfId="0" applyFont="1" applyBorder="1"/>
    <xf numFmtId="0" fontId="11" fillId="0" borderId="0" xfId="0" applyFont="1" applyAlignment="1">
      <alignment horizontal="center" vertical="center"/>
    </xf>
    <xf numFmtId="0" fontId="35" fillId="0" borderId="0" xfId="0" applyFont="1"/>
    <xf numFmtId="0" fontId="33" fillId="5" borderId="24" xfId="0" applyFont="1" applyFill="1" applyBorder="1" applyAlignment="1">
      <alignment vertical="center"/>
    </xf>
    <xf numFmtId="0" fontId="33" fillId="5" borderId="21" xfId="0" applyFont="1" applyFill="1" applyBorder="1" applyAlignment="1">
      <alignment horizontal="center" vertical="center" wrapText="1"/>
    </xf>
    <xf numFmtId="0" fontId="37" fillId="5" borderId="21" xfId="0" applyFont="1" applyFill="1" applyBorder="1" applyAlignment="1">
      <alignment horizontal="center" vertical="center" wrapText="1"/>
    </xf>
    <xf numFmtId="0" fontId="33" fillId="17" borderId="21" xfId="0" applyFont="1" applyFill="1" applyBorder="1" applyAlignment="1">
      <alignment horizontal="center" vertical="center" wrapText="1"/>
    </xf>
    <xf numFmtId="0" fontId="33" fillId="5" borderId="27" xfId="0" applyFont="1" applyFill="1" applyBorder="1" applyAlignment="1">
      <alignment horizontal="center" vertical="center" wrapText="1"/>
    </xf>
    <xf numFmtId="0" fontId="11" fillId="16" borderId="13" xfId="0" applyFont="1" applyFill="1" applyBorder="1" applyAlignment="1">
      <alignment horizontal="center" vertical="center"/>
    </xf>
    <xf numFmtId="0" fontId="10" fillId="11" borderId="25" xfId="0" applyFont="1" applyFill="1" applyBorder="1" applyAlignment="1">
      <alignment vertical="center"/>
    </xf>
    <xf numFmtId="2" fontId="10" fillId="11" borderId="1" xfId="0" applyNumberFormat="1" applyFont="1" applyFill="1" applyBorder="1" applyAlignment="1">
      <alignment horizontal="center" vertical="center"/>
    </xf>
    <xf numFmtId="2" fontId="38" fillId="11" borderId="1" xfId="0" applyNumberFormat="1" applyFont="1" applyFill="1" applyBorder="1" applyAlignment="1">
      <alignment horizontal="center" vertical="center"/>
    </xf>
    <xf numFmtId="2" fontId="10" fillId="11" borderId="28" xfId="0" applyNumberFormat="1" applyFont="1" applyFill="1" applyBorder="1" applyAlignment="1">
      <alignment horizontal="center" vertical="center"/>
    </xf>
    <xf numFmtId="0" fontId="39" fillId="11" borderId="25" xfId="0" applyFont="1" applyFill="1" applyBorder="1" applyAlignment="1">
      <alignment vertical="center"/>
    </xf>
    <xf numFmtId="2" fontId="10" fillId="0" borderId="8" xfId="0" applyNumberFormat="1" applyFont="1" applyBorder="1"/>
    <xf numFmtId="0" fontId="11" fillId="16" borderId="26" xfId="0" applyFont="1" applyFill="1" applyBorder="1" applyAlignment="1">
      <alignment horizontal="center" vertical="center"/>
    </xf>
    <xf numFmtId="2" fontId="10" fillId="10" borderId="30" xfId="0" applyNumberFormat="1" applyFont="1" applyFill="1" applyBorder="1" applyAlignment="1">
      <alignment horizontal="center" vertical="center"/>
    </xf>
    <xf numFmtId="2" fontId="10" fillId="10" borderId="31" xfId="0" applyNumberFormat="1" applyFont="1" applyFill="1" applyBorder="1" applyAlignment="1">
      <alignment horizontal="center" vertical="center"/>
    </xf>
    <xf numFmtId="0" fontId="10" fillId="0" borderId="5" xfId="0" applyFont="1" applyBorder="1" applyAlignment="1">
      <alignment vertical="center"/>
    </xf>
    <xf numFmtId="0" fontId="11" fillId="5" borderId="1" xfId="0" applyFont="1" applyFill="1" applyBorder="1" applyAlignment="1">
      <alignment vertical="center"/>
    </xf>
    <xf numFmtId="2" fontId="10" fillId="15" borderId="1" xfId="0" applyNumberFormat="1" applyFont="1" applyFill="1" applyBorder="1" applyAlignment="1">
      <alignment horizontal="center" vertical="center"/>
    </xf>
    <xf numFmtId="2" fontId="10" fillId="15" borderId="28" xfId="0" applyNumberFormat="1" applyFont="1" applyFill="1" applyBorder="1" applyAlignment="1">
      <alignment horizontal="center" vertical="center"/>
    </xf>
    <xf numFmtId="2" fontId="10" fillId="19" borderId="30" xfId="0" applyNumberFormat="1" applyFont="1" applyFill="1" applyBorder="1" applyAlignment="1">
      <alignment horizontal="center" vertical="center"/>
    </xf>
    <xf numFmtId="2" fontId="10" fillId="19" borderId="31" xfId="0" applyNumberFormat="1" applyFont="1" applyFill="1" applyBorder="1" applyAlignment="1">
      <alignment horizontal="center" vertical="center"/>
    </xf>
    <xf numFmtId="0" fontId="33" fillId="0" borderId="32" xfId="0" applyFont="1" applyBorder="1" applyAlignment="1">
      <alignment horizontal="center" vertical="center" wrapText="1"/>
    </xf>
    <xf numFmtId="0" fontId="33" fillId="0" borderId="33" xfId="0" applyFont="1" applyBorder="1" applyAlignment="1">
      <alignment horizontal="center" vertical="center" wrapText="1"/>
    </xf>
    <xf numFmtId="0" fontId="11" fillId="5" borderId="22" xfId="0" applyFont="1" applyFill="1" applyBorder="1" applyAlignment="1">
      <alignment horizontal="right" vertical="center" wrapText="1"/>
    </xf>
    <xf numFmtId="0" fontId="33" fillId="5" borderId="1" xfId="0" applyFont="1" applyFill="1" applyBorder="1" applyAlignment="1">
      <alignment horizontal="center" vertical="center" wrapText="1"/>
    </xf>
    <xf numFmtId="2" fontId="34" fillId="21" borderId="1" xfId="0" applyNumberFormat="1" applyFont="1" applyFill="1" applyBorder="1" applyAlignment="1">
      <alignment horizontal="center" vertical="center"/>
    </xf>
    <xf numFmtId="2" fontId="34" fillId="21" borderId="28" xfId="0" applyNumberFormat="1" applyFont="1" applyFill="1" applyBorder="1" applyAlignment="1">
      <alignment horizontal="center" vertical="center"/>
    </xf>
    <xf numFmtId="2" fontId="34" fillId="22" borderId="30" xfId="0" applyNumberFormat="1" applyFont="1" applyFill="1" applyBorder="1" applyAlignment="1">
      <alignment horizontal="center" vertical="center"/>
    </xf>
    <xf numFmtId="2" fontId="34" fillId="21" borderId="30" xfId="0" applyNumberFormat="1" applyFont="1" applyFill="1" applyBorder="1" applyAlignment="1">
      <alignment horizontal="center" vertical="center"/>
    </xf>
    <xf numFmtId="2" fontId="34" fillId="21" borderId="31" xfId="0" applyNumberFormat="1" applyFont="1" applyFill="1" applyBorder="1" applyAlignment="1">
      <alignment horizontal="center" vertical="center"/>
    </xf>
    <xf numFmtId="0" fontId="10" fillId="0" borderId="7" xfId="0" applyFont="1" applyBorder="1"/>
    <xf numFmtId="0" fontId="40" fillId="0" borderId="0" xfId="0" applyFont="1" applyAlignment="1">
      <alignment horizontal="right" vertical="center"/>
    </xf>
    <xf numFmtId="0" fontId="41" fillId="0" borderId="0" xfId="0" applyFont="1" applyAlignment="1">
      <alignment vertical="center"/>
    </xf>
    <xf numFmtId="0" fontId="37" fillId="0" borderId="0" xfId="0" applyFont="1" applyAlignment="1">
      <alignment vertical="center"/>
    </xf>
    <xf numFmtId="0" fontId="34" fillId="0" borderId="0" xfId="0" applyFont="1" applyAlignment="1">
      <alignment vertical="center"/>
    </xf>
    <xf numFmtId="0" fontId="10" fillId="23" borderId="21" xfId="0" applyFont="1" applyFill="1" applyBorder="1" applyAlignment="1">
      <alignment horizontal="center" vertical="center" wrapText="1"/>
    </xf>
    <xf numFmtId="0" fontId="10" fillId="23" borderId="21" xfId="0" applyFont="1" applyFill="1" applyBorder="1" applyAlignment="1">
      <alignment horizontal="center" vertical="center"/>
    </xf>
    <xf numFmtId="0" fontId="10" fillId="23" borderId="21" xfId="0" applyFont="1" applyFill="1" applyBorder="1" applyAlignment="1">
      <alignment vertical="center"/>
    </xf>
    <xf numFmtId="0" fontId="10" fillId="23" borderId="27" xfId="0" applyFont="1" applyFill="1" applyBorder="1" applyAlignment="1">
      <alignment vertical="center"/>
    </xf>
    <xf numFmtId="0" fontId="10" fillId="10" borderId="30" xfId="0" applyFont="1" applyFill="1" applyBorder="1" applyAlignment="1">
      <alignment horizontal="center" vertical="center"/>
    </xf>
    <xf numFmtId="0" fontId="10" fillId="0" borderId="0" xfId="0" applyFont="1" applyAlignment="1">
      <alignment horizontal="center" vertical="center"/>
    </xf>
    <xf numFmtId="0" fontId="10" fillId="6" borderId="24" xfId="0" applyFont="1" applyFill="1" applyBorder="1" applyAlignment="1">
      <alignment horizontal="right" vertical="center"/>
    </xf>
    <xf numFmtId="0" fontId="10" fillId="6" borderId="25" xfId="0" applyFont="1" applyFill="1" applyBorder="1" applyAlignment="1">
      <alignment horizontal="right" vertical="center"/>
    </xf>
    <xf numFmtId="0" fontId="10" fillId="6" borderId="10" xfId="0" applyFont="1" applyFill="1" applyBorder="1" applyAlignment="1">
      <alignment horizontal="right" vertical="center"/>
    </xf>
    <xf numFmtId="0" fontId="34" fillId="6" borderId="36" xfId="0" applyFont="1" applyFill="1" applyBorder="1" applyAlignment="1">
      <alignment horizontal="left" vertical="center" wrapText="1"/>
    </xf>
    <xf numFmtId="0" fontId="34" fillId="6" borderId="37" xfId="0" applyFont="1" applyFill="1" applyBorder="1" applyAlignment="1">
      <alignment horizontal="left" vertical="center" wrapText="1"/>
    </xf>
    <xf numFmtId="0" fontId="34" fillId="6" borderId="24" xfId="0" applyFont="1" applyFill="1" applyBorder="1" applyAlignment="1">
      <alignment horizontal="left" vertical="center" wrapText="1"/>
    </xf>
    <xf numFmtId="0" fontId="34" fillId="6" borderId="2" xfId="0" applyFont="1" applyFill="1" applyBorder="1" applyAlignment="1">
      <alignment horizontal="left" vertical="center" wrapText="1"/>
    </xf>
    <xf numFmtId="0" fontId="34" fillId="6" borderId="35" xfId="0" applyFont="1" applyFill="1" applyBorder="1" applyAlignment="1">
      <alignment horizontal="left" vertical="center" wrapText="1"/>
    </xf>
    <xf numFmtId="0" fontId="34" fillId="6" borderId="25" xfId="0" applyFont="1" applyFill="1" applyBorder="1" applyAlignment="1">
      <alignment horizontal="left" vertical="center" wrapText="1"/>
    </xf>
    <xf numFmtId="0" fontId="34" fillId="19" borderId="1" xfId="0" applyFont="1" applyFill="1" applyBorder="1" applyAlignment="1">
      <alignment horizontal="center" vertical="center"/>
    </xf>
    <xf numFmtId="0" fontId="34" fillId="19" borderId="2" xfId="0" applyFont="1" applyFill="1" applyBorder="1" applyAlignment="1">
      <alignment horizontal="center" vertical="center"/>
    </xf>
    <xf numFmtId="0" fontId="34" fillId="19" borderId="35" xfId="0" applyFont="1" applyFill="1" applyBorder="1" applyAlignment="1">
      <alignment horizontal="center" vertical="center"/>
    </xf>
    <xf numFmtId="0" fontId="34" fillId="19" borderId="25" xfId="0" applyFont="1" applyFill="1" applyBorder="1" applyAlignment="1">
      <alignment horizontal="center" vertical="center"/>
    </xf>
    <xf numFmtId="0" fontId="11" fillId="18" borderId="7" xfId="0" applyFont="1" applyFill="1" applyBorder="1" applyAlignment="1">
      <alignment horizontal="center" vertical="center"/>
    </xf>
    <xf numFmtId="2" fontId="10" fillId="19" borderId="18" xfId="0" applyNumberFormat="1" applyFont="1" applyFill="1" applyBorder="1" applyAlignment="1">
      <alignment horizontal="center" vertical="center"/>
    </xf>
    <xf numFmtId="0" fontId="11" fillId="5" borderId="1"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33" fillId="17" borderId="1" xfId="0" applyFont="1" applyFill="1" applyBorder="1" applyAlignment="1">
      <alignment horizontal="center" vertical="center" wrapText="1"/>
    </xf>
    <xf numFmtId="2" fontId="10" fillId="0" borderId="0" xfId="0" applyNumberFormat="1" applyFont="1" applyBorder="1"/>
    <xf numFmtId="2" fontId="35" fillId="0" borderId="0" xfId="0" applyNumberFormat="1" applyFont="1" applyBorder="1"/>
    <xf numFmtId="0" fontId="10" fillId="0" borderId="8" xfId="0" applyFont="1" applyBorder="1" applyAlignment="1">
      <alignment vertical="center"/>
    </xf>
    <xf numFmtId="0" fontId="11" fillId="5" borderId="34" xfId="0" applyFont="1" applyFill="1" applyBorder="1" applyAlignment="1">
      <alignment horizontal="right" vertical="center" wrapText="1"/>
    </xf>
    <xf numFmtId="0" fontId="10" fillId="19" borderId="29" xfId="0" applyFont="1" applyFill="1" applyBorder="1" applyAlignment="1">
      <alignment vertical="center"/>
    </xf>
    <xf numFmtId="2" fontId="10" fillId="0" borderId="10" xfId="0" applyNumberFormat="1" applyFont="1" applyBorder="1"/>
    <xf numFmtId="0" fontId="11" fillId="5" borderId="1" xfId="0" applyFont="1" applyFill="1" applyBorder="1" applyAlignment="1">
      <alignment horizontal="center" vertical="center"/>
    </xf>
    <xf numFmtId="0" fontId="11" fillId="18" borderId="4" xfId="0" applyFont="1" applyFill="1" applyBorder="1" applyAlignment="1">
      <alignment horizontal="center" vertical="center" wrapText="1"/>
    </xf>
    <xf numFmtId="0" fontId="11" fillId="18" borderId="9" xfId="0" applyFont="1" applyFill="1" applyBorder="1" applyAlignment="1">
      <alignment horizontal="center" vertical="center"/>
    </xf>
    <xf numFmtId="0" fontId="34" fillId="0" borderId="4" xfId="0" applyFont="1" applyBorder="1"/>
    <xf numFmtId="0" fontId="34" fillId="0" borderId="7" xfId="0" applyFont="1" applyBorder="1"/>
    <xf numFmtId="0" fontId="11" fillId="5" borderId="22" xfId="0" applyFont="1" applyFill="1" applyBorder="1" applyAlignment="1">
      <alignment horizontal="center" vertical="center"/>
    </xf>
    <xf numFmtId="0" fontId="33" fillId="5" borderId="28" xfId="0" applyFont="1" applyFill="1" applyBorder="1" applyAlignment="1">
      <alignment horizontal="center" vertical="center" wrapText="1"/>
    </xf>
    <xf numFmtId="2" fontId="10" fillId="11" borderId="38" xfId="0" applyNumberFormat="1" applyFont="1" applyFill="1" applyBorder="1" applyAlignment="1">
      <alignment horizontal="center" vertical="center"/>
    </xf>
    <xf numFmtId="2" fontId="10" fillId="19" borderId="39" xfId="0" applyNumberFormat="1" applyFont="1" applyFill="1" applyBorder="1" applyAlignment="1">
      <alignment horizontal="center" vertical="center"/>
    </xf>
    <xf numFmtId="0" fontId="42" fillId="0" borderId="7" xfId="0" applyFont="1" applyBorder="1" applyAlignment="1">
      <alignment horizontal="center"/>
    </xf>
    <xf numFmtId="0" fontId="35" fillId="0" borderId="0" xfId="0" applyFont="1" applyBorder="1"/>
    <xf numFmtId="0" fontId="42" fillId="0" borderId="9" xfId="0" applyFont="1" applyBorder="1" applyAlignment="1">
      <alignment horizontal="center" vertical="center"/>
    </xf>
    <xf numFmtId="0" fontId="11" fillId="5" borderId="30" xfId="0" applyFont="1" applyFill="1" applyBorder="1" applyAlignment="1">
      <alignment horizontal="center" vertical="center" wrapText="1"/>
    </xf>
    <xf numFmtId="0" fontId="11" fillId="13" borderId="4" xfId="0" applyFont="1" applyFill="1" applyBorder="1" applyAlignment="1">
      <alignment horizontal="center" vertical="center" wrapText="1"/>
    </xf>
    <xf numFmtId="0" fontId="36" fillId="13" borderId="9" xfId="0" applyFont="1" applyFill="1" applyBorder="1" applyAlignment="1">
      <alignment horizontal="right" vertical="center"/>
    </xf>
    <xf numFmtId="0" fontId="10" fillId="23" borderId="20" xfId="0" applyFont="1" applyFill="1" applyBorder="1" applyAlignment="1">
      <alignment horizontal="center" vertical="center"/>
    </xf>
    <xf numFmtId="0" fontId="10" fillId="10" borderId="34" xfId="0" applyFont="1" applyFill="1" applyBorder="1" applyAlignment="1">
      <alignment horizontal="center" vertical="center" wrapText="1"/>
    </xf>
  </cellXfs>
  <cellStyles count="4">
    <cellStyle name="Monétaire" xfId="3" builtinId="4"/>
    <cellStyle name="Normal" xfId="0" builtinId="0"/>
    <cellStyle name="Pourcentage" xfId="2" builtinId="5"/>
    <cellStyle name="Style 1" xfId="1" xr:uid="{00000000-0005-0000-0000-000003000000}"/>
  </cellStyles>
  <dxfs count="235">
    <dxf>
      <fill>
        <patternFill>
          <bgColor rgb="FFEB7D7D"/>
        </patternFill>
      </fill>
    </dxf>
    <dxf>
      <fill>
        <patternFill>
          <bgColor rgb="FFEE7A7A"/>
        </patternFill>
      </fill>
    </dxf>
    <dxf>
      <fill>
        <patternFill>
          <bgColor rgb="FFF6A70A"/>
        </patternFill>
      </fill>
    </dxf>
    <dxf>
      <fill>
        <patternFill>
          <bgColor rgb="FFF6A70A"/>
        </patternFill>
      </fill>
    </dxf>
    <dxf>
      <fill>
        <patternFill>
          <bgColor rgb="FFFFFF00"/>
        </patternFill>
      </fill>
    </dxf>
    <dxf>
      <fill>
        <patternFill>
          <bgColor rgb="FFFFFF00"/>
        </patternFill>
      </fill>
    </dxf>
    <dxf>
      <fill>
        <patternFill>
          <bgColor rgb="FFEC7070"/>
        </patternFill>
      </fill>
    </dxf>
    <dxf>
      <fill>
        <patternFill>
          <bgColor rgb="FFE87272"/>
        </patternFill>
      </fill>
    </dxf>
    <dxf>
      <fill>
        <patternFill>
          <bgColor rgb="FFF6A70A"/>
        </patternFill>
      </fill>
    </dxf>
    <dxf>
      <fill>
        <patternFill>
          <bgColor rgb="FFF6A70A"/>
        </patternFill>
      </fill>
    </dxf>
    <dxf>
      <fill>
        <patternFill>
          <bgColor rgb="FFFFFF00"/>
        </patternFill>
      </fill>
    </dxf>
    <dxf>
      <fill>
        <patternFill>
          <bgColor rgb="FFFFFF00"/>
        </patternFill>
      </fill>
    </dxf>
    <dxf>
      <fill>
        <patternFill>
          <bgColor rgb="FFF07474"/>
        </patternFill>
      </fill>
    </dxf>
    <dxf>
      <fill>
        <patternFill>
          <bgColor rgb="FFE77373"/>
        </patternFill>
      </fill>
    </dxf>
    <dxf>
      <fill>
        <patternFill>
          <bgColor rgb="FFF6A70A"/>
        </patternFill>
      </fill>
    </dxf>
    <dxf>
      <fill>
        <patternFill>
          <bgColor rgb="FFF6A70A"/>
        </patternFill>
      </fill>
    </dxf>
    <dxf>
      <fill>
        <patternFill>
          <bgColor rgb="FFFFFF00"/>
        </patternFill>
      </fill>
    </dxf>
    <dxf>
      <fill>
        <patternFill>
          <bgColor rgb="FFFFFF00"/>
        </patternFill>
      </fill>
    </dxf>
    <dxf>
      <fill>
        <patternFill>
          <bgColor rgb="FFEC6A6A"/>
        </patternFill>
      </fill>
    </dxf>
    <dxf>
      <fill>
        <patternFill>
          <bgColor rgb="FFE47676"/>
        </patternFill>
      </fill>
    </dxf>
    <dxf>
      <fill>
        <patternFill>
          <bgColor rgb="FFF6A70A"/>
        </patternFill>
      </fill>
    </dxf>
    <dxf>
      <fill>
        <patternFill>
          <bgColor rgb="FFF6A70A"/>
        </patternFill>
      </fill>
    </dxf>
    <dxf>
      <fill>
        <patternFill>
          <bgColor rgb="FFFFFF00"/>
        </patternFill>
      </fill>
    </dxf>
    <dxf>
      <fill>
        <patternFill>
          <bgColor rgb="FFFFFF00"/>
        </patternFill>
      </fill>
    </dxf>
    <dxf>
      <fill>
        <patternFill>
          <bgColor rgb="FFED6F6F"/>
        </patternFill>
      </fill>
    </dxf>
    <dxf>
      <fill>
        <patternFill>
          <bgColor rgb="FFED6969"/>
        </patternFill>
      </fill>
    </dxf>
    <dxf>
      <fill>
        <patternFill>
          <bgColor rgb="FFF6A70A"/>
        </patternFill>
      </fill>
    </dxf>
    <dxf>
      <fill>
        <patternFill>
          <bgColor rgb="FFF6A70A"/>
        </patternFill>
      </fill>
    </dxf>
    <dxf>
      <fill>
        <patternFill>
          <bgColor rgb="FFFFFF00"/>
        </patternFill>
      </fill>
    </dxf>
    <dxf>
      <fill>
        <patternFill>
          <bgColor rgb="FFFFFF00"/>
        </patternFill>
      </fill>
    </dxf>
    <dxf>
      <fill>
        <patternFill>
          <bgColor rgb="FFEA6464"/>
        </patternFill>
      </fill>
    </dxf>
    <dxf>
      <fill>
        <patternFill>
          <bgColor rgb="FFEF5F5F"/>
        </patternFill>
      </fill>
    </dxf>
    <dxf>
      <fill>
        <patternFill>
          <bgColor rgb="FFF6A70A"/>
        </patternFill>
      </fill>
    </dxf>
    <dxf>
      <fill>
        <patternFill>
          <bgColor rgb="FFF6A70A"/>
        </patternFill>
      </fill>
    </dxf>
    <dxf>
      <fill>
        <patternFill>
          <bgColor rgb="FFFFFF00"/>
        </patternFill>
      </fill>
    </dxf>
    <dxf>
      <fill>
        <patternFill>
          <bgColor rgb="FFFFFF00"/>
        </patternFill>
      </fill>
    </dxf>
    <dxf>
      <fill>
        <patternFill>
          <bgColor rgb="FFEE6E6E"/>
        </patternFill>
      </fill>
    </dxf>
    <dxf>
      <fill>
        <patternFill>
          <bgColor rgb="FFEC7070"/>
        </patternFill>
      </fill>
    </dxf>
    <dxf>
      <fill>
        <patternFill>
          <bgColor rgb="FFF6A70A"/>
        </patternFill>
      </fill>
    </dxf>
    <dxf>
      <fill>
        <patternFill>
          <bgColor rgb="FFF6A70A"/>
        </patternFill>
      </fill>
    </dxf>
    <dxf>
      <fill>
        <patternFill>
          <bgColor rgb="FFFFFF00"/>
        </patternFill>
      </fill>
    </dxf>
    <dxf>
      <fill>
        <patternFill>
          <bgColor rgb="FFFFFF00"/>
        </patternFill>
      </fill>
    </dxf>
    <dxf>
      <fill>
        <patternFill>
          <bgColor rgb="FFEE6E6E"/>
        </patternFill>
      </fill>
    </dxf>
    <dxf>
      <fill>
        <patternFill>
          <bgColor rgb="FFEF7575"/>
        </patternFill>
      </fill>
    </dxf>
    <dxf>
      <fill>
        <patternFill>
          <bgColor rgb="FFF6A70A"/>
        </patternFill>
      </fill>
    </dxf>
    <dxf>
      <fill>
        <patternFill>
          <bgColor rgb="FFF6A70A"/>
        </patternFill>
      </fill>
    </dxf>
    <dxf>
      <fill>
        <patternFill>
          <bgColor rgb="FFFFFF00"/>
        </patternFill>
      </fill>
    </dxf>
    <dxf>
      <fill>
        <patternFill>
          <bgColor rgb="FFFFFF00"/>
        </patternFill>
      </fill>
    </dxf>
    <dxf>
      <fill>
        <patternFill>
          <bgColor rgb="FFF16B6B"/>
        </patternFill>
      </fill>
    </dxf>
    <dxf>
      <fill>
        <patternFill>
          <bgColor rgb="FFF26464"/>
        </patternFill>
      </fill>
    </dxf>
    <dxf>
      <fill>
        <patternFill>
          <bgColor rgb="FFF6A70A"/>
        </patternFill>
      </fill>
    </dxf>
    <dxf>
      <fill>
        <patternFill>
          <bgColor rgb="FFF6A70A"/>
        </patternFill>
      </fill>
    </dxf>
    <dxf>
      <fill>
        <patternFill>
          <bgColor rgb="FFFFFF00"/>
        </patternFill>
      </fill>
    </dxf>
    <dxf>
      <fill>
        <patternFill>
          <bgColor rgb="FFFFFF00"/>
        </patternFill>
      </fill>
    </dxf>
    <dxf>
      <fill>
        <patternFill>
          <bgColor rgb="FFF15555"/>
        </patternFill>
      </fill>
    </dxf>
    <dxf>
      <fill>
        <patternFill>
          <bgColor rgb="FFEF6363"/>
        </patternFill>
      </fill>
    </dxf>
    <dxf>
      <fill>
        <patternFill>
          <bgColor rgb="FFF6A70A"/>
        </patternFill>
      </fill>
    </dxf>
    <dxf>
      <fill>
        <patternFill>
          <bgColor rgb="FFF6A70A"/>
        </patternFill>
      </fill>
    </dxf>
    <dxf>
      <fill>
        <patternFill>
          <bgColor rgb="FFFFFF00"/>
        </patternFill>
      </fill>
    </dxf>
    <dxf>
      <fill>
        <patternFill>
          <bgColor rgb="FFFFFF00"/>
        </patternFill>
      </fill>
    </dxf>
    <dxf>
      <fill>
        <patternFill>
          <bgColor rgb="FFF26A6A"/>
        </patternFill>
      </fill>
    </dxf>
    <dxf>
      <fill>
        <patternFill>
          <bgColor rgb="FFEA6464"/>
        </patternFill>
      </fill>
    </dxf>
    <dxf>
      <fill>
        <patternFill>
          <bgColor rgb="FFF6A70A"/>
        </patternFill>
      </fill>
    </dxf>
    <dxf>
      <fill>
        <patternFill>
          <bgColor rgb="FFF6A70A"/>
        </patternFill>
      </fill>
    </dxf>
    <dxf>
      <fill>
        <patternFill>
          <bgColor rgb="FFFFFF00"/>
        </patternFill>
      </fill>
    </dxf>
    <dxf>
      <fill>
        <patternFill>
          <bgColor rgb="FFFFFF00"/>
        </patternFill>
      </fill>
    </dxf>
    <dxf>
      <fill>
        <patternFill>
          <bgColor rgb="FFF55959"/>
        </patternFill>
      </fill>
    </dxf>
    <dxf>
      <fill>
        <patternFill>
          <bgColor rgb="FFE15959"/>
        </patternFill>
      </fill>
    </dxf>
    <dxf>
      <fill>
        <patternFill>
          <bgColor rgb="FFF6A70A"/>
        </patternFill>
      </fill>
    </dxf>
    <dxf>
      <fill>
        <patternFill>
          <bgColor rgb="FFF6A70A"/>
        </patternFill>
      </fill>
    </dxf>
    <dxf>
      <fill>
        <patternFill>
          <bgColor rgb="FFFFFF00"/>
        </patternFill>
      </fill>
    </dxf>
    <dxf>
      <fill>
        <patternFill>
          <bgColor rgb="FFFFFF00"/>
        </patternFill>
      </fill>
    </dxf>
    <dxf>
      <fill>
        <patternFill>
          <bgColor rgb="FFF84A4A"/>
        </patternFill>
      </fill>
    </dxf>
    <dxf>
      <fill>
        <patternFill>
          <bgColor rgb="FFED4949"/>
        </patternFill>
      </fill>
    </dxf>
    <dxf>
      <fill>
        <patternFill>
          <bgColor rgb="FFF6A70A"/>
        </patternFill>
      </fill>
    </dxf>
    <dxf>
      <fill>
        <patternFill>
          <bgColor rgb="FFF6A70A"/>
        </patternFill>
      </fill>
    </dxf>
    <dxf>
      <fill>
        <patternFill>
          <bgColor rgb="FFFFFF00"/>
        </patternFill>
      </fill>
    </dxf>
    <dxf>
      <fill>
        <patternFill>
          <bgColor rgb="FFFFFF00"/>
        </patternFill>
      </fill>
    </dxf>
    <dxf>
      <fill>
        <patternFill>
          <bgColor rgb="FFFF5353"/>
        </patternFill>
      </fill>
    </dxf>
    <dxf>
      <fill>
        <patternFill>
          <bgColor rgb="FFF6A70A"/>
        </patternFill>
      </fill>
    </dxf>
    <dxf>
      <fill>
        <patternFill>
          <bgColor rgb="FFF6A70A"/>
        </patternFill>
      </fill>
    </dxf>
    <dxf>
      <fill>
        <patternFill>
          <bgColor rgb="FFFFFF00"/>
        </patternFill>
      </fill>
    </dxf>
    <dxf>
      <fill>
        <patternFill>
          <bgColor rgb="FFFFFF00"/>
        </patternFill>
      </fill>
    </dxf>
    <dxf>
      <fill>
        <patternFill>
          <bgColor rgb="FFF65C5C"/>
        </patternFill>
      </fill>
    </dxf>
    <dxf>
      <fill>
        <patternFill>
          <bgColor rgb="FFF6A70A"/>
        </patternFill>
      </fill>
    </dxf>
    <dxf>
      <fill>
        <patternFill>
          <bgColor rgb="FFF6A70A"/>
        </patternFill>
      </fill>
    </dxf>
    <dxf>
      <fill>
        <patternFill>
          <bgColor rgb="FFFFFF00"/>
        </patternFill>
      </fill>
    </dxf>
    <dxf>
      <fill>
        <patternFill>
          <bgColor rgb="FFFFFF00"/>
        </patternFill>
      </fill>
    </dxf>
    <dxf>
      <fill>
        <patternFill>
          <bgColor rgb="FFEF5F5F"/>
        </patternFill>
      </fill>
    </dxf>
    <dxf>
      <fill>
        <patternFill>
          <bgColor rgb="FFF46262"/>
        </patternFill>
      </fill>
    </dxf>
    <dxf>
      <fill>
        <patternFill>
          <bgColor rgb="FFF6A70A"/>
        </patternFill>
      </fill>
    </dxf>
    <dxf>
      <fill>
        <patternFill>
          <bgColor rgb="FFF6A70A"/>
        </patternFill>
      </fill>
    </dxf>
    <dxf>
      <fill>
        <patternFill>
          <bgColor rgb="FFFFFF00"/>
        </patternFill>
      </fill>
    </dxf>
    <dxf>
      <fill>
        <patternFill>
          <bgColor rgb="FFFFFF00"/>
        </patternFill>
      </fill>
    </dxf>
    <dxf>
      <fill>
        <patternFill>
          <bgColor rgb="FFF75B5B"/>
        </patternFill>
      </fill>
    </dxf>
    <dxf>
      <fill>
        <patternFill>
          <bgColor rgb="FFFB6161"/>
        </patternFill>
      </fill>
    </dxf>
    <dxf>
      <fill>
        <patternFill>
          <bgColor rgb="FFF6A70A"/>
        </patternFill>
      </fill>
    </dxf>
    <dxf>
      <fill>
        <patternFill>
          <bgColor rgb="FFF6A70A"/>
        </patternFill>
      </fill>
    </dxf>
    <dxf>
      <fill>
        <patternFill>
          <bgColor rgb="FFFFFF00"/>
        </patternFill>
      </fill>
    </dxf>
    <dxf>
      <fill>
        <patternFill>
          <bgColor rgb="FFFFFF00"/>
        </patternFill>
      </fill>
    </dxf>
    <dxf>
      <fill>
        <patternFill>
          <bgColor rgb="FFFF4343"/>
        </patternFill>
      </fill>
    </dxf>
    <dxf>
      <fill>
        <patternFill>
          <bgColor rgb="FFFB6D6D"/>
        </patternFill>
      </fill>
    </dxf>
    <dxf>
      <fill>
        <patternFill patternType="solid">
          <bgColor rgb="FFFF2F2F"/>
        </patternFill>
      </fill>
    </dxf>
    <dxf>
      <fill>
        <patternFill>
          <bgColor rgb="FF00FF00"/>
        </patternFill>
      </fill>
    </dxf>
    <dxf>
      <fill>
        <patternFill>
          <bgColor rgb="FFFFC000"/>
        </patternFill>
      </fill>
    </dxf>
    <dxf>
      <numFmt numFmtId="2" formatCode="0.00"/>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alignment textRotation="0" wrapText="0" indent="0" justifyLastLine="0" shrinkToFit="0" readingOrder="0"/>
    </dxf>
    <dxf>
      <border>
        <bottom style="thin">
          <color indexed="64"/>
        </bottom>
      </border>
    </dxf>
    <dxf>
      <font>
        <b/>
        <strike val="0"/>
        <outline val="0"/>
        <shadow val="0"/>
        <u val="none"/>
        <vertAlign val="baseline"/>
        <sz val="11"/>
        <color auto="1"/>
        <name val="Calibri"/>
        <scheme val="minor"/>
      </font>
      <fill>
        <patternFill patternType="solid">
          <fgColor indexed="64"/>
          <bgColor theme="8"/>
        </patternFill>
      </fill>
      <alignmen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0" formatCode="General"/>
      <fill>
        <patternFill patternType="none">
          <fgColor indexed="64"/>
          <bgColor theme="0"/>
        </patternFill>
      </fill>
      <alignment horizontal="lef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solid">
          <fgColor indexed="64"/>
          <bgColor theme="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9" tint="-0.499984740745262"/>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9" tint="-0.499984740745262"/>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9" tint="-0.499984740745262"/>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9" tint="-0.499984740745262"/>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9" tint="-0.499984740745262"/>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9" tint="-0.499984740745262"/>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9" tint="-0.499984740745262"/>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9" tint="-0.499984740745262"/>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5" tint="0.39997558519241921"/>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5" tint="0.39997558519241921"/>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5" tint="0.39997558519241921"/>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4" tint="0.399975585192419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4" tint="0.399975585192419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3"/>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4" tint="0.59999389629810485"/>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3"/>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4" tint="0.59999389629810485"/>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3"/>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4" tint="0.59999389629810485"/>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3"/>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auto="1"/>
      </font>
      <numFmt numFmtId="2" formatCode="0.00"/>
      <fill>
        <patternFill patternType="none">
          <fgColor indexed="64"/>
          <bgColor theme="4" tint="0.59999389629810485"/>
        </patternFill>
      </fill>
      <alignment horizont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3"/>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4" tint="0.59999389629810485"/>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3"/>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4" tint="0.59999389629810485"/>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4" tint="-0.249977111117893"/>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4" tint="-0.249977111117893"/>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4" tint="-0.249977111117893"/>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4" tint="-0.249977111117893"/>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4" tint="-0.249977111117893"/>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6"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5" tint="-0.249977111117893"/>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6"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5" tint="-0.249977111117893"/>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6"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5" tint="-0.249977111117893"/>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6"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5" tint="-0.249977111117893"/>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6"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5" tint="-0.249977111117893"/>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6"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5" tint="-0.249977111117893"/>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2" tint="-0.499984740745262"/>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3"/>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2" tint="-0.499984740745262"/>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3"/>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2" tint="-0.499984740745262"/>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3"/>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2" tint="-0.499984740745262"/>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3"/>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2" tint="-0.499984740745262"/>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font>
      <numFmt numFmtId="2" formatCode="0.00"/>
      <fill>
        <patternFill patternType="none">
          <fgColor indexed="64"/>
          <bgColor theme="3"/>
        </patternFill>
      </fill>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fill>
        <patternFill patternType="solid">
          <fgColor indexed="64"/>
          <bgColor rgb="FF92D050"/>
        </patternFill>
      </fill>
      <alignment horizontal="left" vertical="center" textRotation="0" wrapText="0" indent="0" justifyLastLine="0" shrinkToFit="0" readingOrder="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10"/>
        <color theme="1"/>
        <name val="Verdana"/>
        <scheme val="none"/>
      </font>
      <numFmt numFmtId="0" formatCode="General"/>
      <fill>
        <patternFill patternType="none">
          <fgColor indexed="64"/>
          <bgColor theme="9"/>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fill>
        <patternFill patternType="solid">
          <fgColor indexed="64"/>
          <bgColor rgb="FF92D050"/>
        </patternFill>
      </fill>
      <alignment horizontal="left" vertical="center" textRotation="0" wrapText="0" indent="0" justifyLastLine="0" shrinkToFit="0" readingOrder="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10"/>
        <color rgb="FFFF0000"/>
        <name val="Verdana"/>
        <scheme val="none"/>
      </font>
      <numFmt numFmtId="0" formatCode="General"/>
      <fill>
        <patternFill patternType="none">
          <fgColor indexed="64"/>
          <bgColor theme="9"/>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fill>
        <patternFill patternType="solid">
          <fgColor indexed="64"/>
          <bgColor rgb="FF92D050"/>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10"/>
        <color theme="1"/>
        <name val="Verdana"/>
        <scheme val="none"/>
      </font>
      <numFmt numFmtId="0" formatCode="General"/>
      <fill>
        <patternFill patternType="none">
          <fgColor indexed="64"/>
          <bgColor theme="9"/>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left style="thin">
          <color indexed="64"/>
        </left>
        <right style="thin">
          <color indexed="64"/>
        </right>
        <top style="thin">
          <color indexed="64"/>
        </top>
        <bottom style="thin">
          <color indexed="64"/>
        </bottom>
      </border>
    </dxf>
    <dxf>
      <font>
        <strike val="0"/>
        <outline val="0"/>
        <shadow val="0"/>
        <u val="none"/>
        <vertAlign val="baseline"/>
        <sz val="10"/>
      </font>
      <numFmt numFmtId="0" formatCode="General"/>
      <fill>
        <patternFill patternType="none">
          <fgColor indexed="64"/>
          <bgColor theme="9"/>
        </patternFill>
      </fill>
    </dxf>
    <dxf>
      <border outline="0">
        <bottom style="thin">
          <color indexed="64"/>
        </bottom>
      </border>
    </dxf>
    <dxf>
      <font>
        <b/>
        <i val="0"/>
        <strike val="0"/>
        <condense val="0"/>
        <extend val="0"/>
        <outline val="0"/>
        <shadow val="0"/>
        <u val="none"/>
        <vertAlign val="baseline"/>
        <sz val="10"/>
        <color auto="1"/>
        <name val="Verdana"/>
        <scheme val="none"/>
      </font>
      <numFmt numFmtId="0" formatCode="General"/>
      <fill>
        <patternFill patternType="none">
          <fgColor indexed="64"/>
          <bgColor theme="9"/>
        </patternFill>
      </fill>
      <alignment horizontal="center" vertical="center" textRotation="0" wrapText="1" indent="0" justifyLastLine="0" shrinkToFit="0" readingOrder="0"/>
      <border diagonalUp="0" diagonalDown="0">
        <left style="thin">
          <color indexed="64"/>
        </left>
        <right style="thin">
          <color indexed="64"/>
        </right>
        <top/>
        <bottom/>
      </border>
    </dxf>
  </dxfs>
  <tableStyles count="0" defaultTableStyle="TableStyleMedium2" defaultPivotStyle="PivotStyleLight16"/>
  <colors>
    <mruColors>
      <color rgb="FFFF4343"/>
      <color rgb="FFEE7A7A"/>
      <color rgb="FFEB7D7D"/>
      <color rgb="FFF6A70A"/>
      <color rgb="FFE87272"/>
      <color rgb="FFEC7070"/>
      <color rgb="FFE77373"/>
      <color rgb="FFE46666"/>
      <color rgb="FFF07474"/>
      <color rgb="FFF391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cap="all" baseline="0">
                <a:solidFill>
                  <a:schemeClr val="dk1"/>
                </a:solidFill>
                <a:latin typeface="+mn-lt"/>
                <a:ea typeface="+mn-ea"/>
                <a:cs typeface="+mn-cs"/>
              </a:defRPr>
            </a:pPr>
            <a:r>
              <a:rPr lang="en-GB"/>
              <a:t>% of contribution of each feedstuff for Energy</a:t>
            </a:r>
          </a:p>
        </c:rich>
      </c:tx>
      <c:layout>
        <c:manualLayout>
          <c:xMode val="edge"/>
          <c:yMode val="edge"/>
          <c:x val="0.13451104698601568"/>
          <c:y val="3.2467310338939119E-2"/>
        </c:manualLayout>
      </c:layout>
      <c:overlay val="0"/>
      <c:spPr>
        <a:noFill/>
        <a:ln>
          <a:noFill/>
        </a:ln>
        <a:effectLst/>
      </c:spPr>
      <c:txPr>
        <a:bodyPr rot="0" spcFirstLastPara="1" vertOverflow="ellipsis" vert="horz" wrap="square" anchor="ctr" anchorCtr="1"/>
        <a:lstStyle/>
        <a:p>
          <a:pPr algn="ctr">
            <a:defRPr sz="1600" b="1" i="0" u="none" strike="noStrike" kern="1200" cap="all" baseline="0">
              <a:solidFill>
                <a:schemeClr val="dk1"/>
              </a:solidFill>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Contribution!$B$1</c:f>
              <c:strCache>
                <c:ptCount val="1"/>
                <c:pt idx="0">
                  <c:v>% of contribution off each feedstuff for Energy</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2FA-4CF6-800F-A6FA4CBB2715}"/>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2FA-4CF6-800F-A6FA4CBB2715}"/>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2FA-4CF6-800F-A6FA4CBB2715}"/>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2FA-4CF6-800F-A6FA4CBB2715}"/>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A2FA-4CF6-800F-A6FA4CBB2715}"/>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A2FA-4CF6-800F-A6FA4CBB2715}"/>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A2FA-4CF6-800F-A6FA4CBB2715}"/>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A2FA-4CF6-800F-A6FA4CBB2715}"/>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A2FA-4CF6-800F-A6FA4CBB2715}"/>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A2FA-4CF6-800F-A6FA4CBB2715}"/>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A2FA-4CF6-800F-A6FA4CBB2715}"/>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A2FA-4CF6-800F-A6FA4CBB2715}"/>
              </c:ext>
            </c:extLst>
          </c:dPt>
          <c:dLbls>
            <c:dLbl>
              <c:idx val="0"/>
              <c:numFmt formatCode="General" sourceLinked="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2FA-4CF6-800F-A6FA4CBB2715}"/>
                </c:ext>
              </c:extLst>
            </c:dLbl>
            <c:dLbl>
              <c:idx val="1"/>
              <c:numFmt formatCode="General" sourceLinked="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2FA-4CF6-800F-A6FA4CBB2715}"/>
                </c:ext>
              </c:extLst>
            </c:dLbl>
            <c:dLbl>
              <c:idx val="2"/>
              <c:numFmt formatCode="General" sourceLinked="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2FA-4CF6-800F-A6FA4CBB2715}"/>
                </c:ext>
              </c:extLst>
            </c:dLbl>
            <c:dLbl>
              <c:idx val="3"/>
              <c:numFmt formatCode="General" sourceLinked="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2FA-4CF6-800F-A6FA4CBB2715}"/>
                </c:ext>
              </c:extLst>
            </c:dLbl>
            <c:dLbl>
              <c:idx val="4"/>
              <c:numFmt formatCode="General" sourceLinked="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2FA-4CF6-800F-A6FA4CBB2715}"/>
                </c:ext>
              </c:extLst>
            </c:dLbl>
            <c:dLbl>
              <c:idx val="5"/>
              <c:numFmt formatCode="General" sourceLinked="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A2FA-4CF6-800F-A6FA4CBB2715}"/>
                </c:ext>
              </c:extLst>
            </c:dLbl>
            <c:dLbl>
              <c:idx val="6"/>
              <c:numFmt formatCode="General" sourceLinked="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A2FA-4CF6-800F-A6FA4CBB2715}"/>
                </c:ext>
              </c:extLst>
            </c:dLbl>
            <c:dLbl>
              <c:idx val="7"/>
              <c:numFmt formatCode="General" sourceLinked="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A2FA-4CF6-800F-A6FA4CBB2715}"/>
                </c:ext>
              </c:extLst>
            </c:dLbl>
            <c:dLbl>
              <c:idx val="8"/>
              <c:numFmt formatCode="General" sourceLinked="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A2FA-4CF6-800F-A6FA4CBB2715}"/>
                </c:ext>
              </c:extLst>
            </c:dLbl>
            <c:dLbl>
              <c:idx val="9"/>
              <c:numFmt formatCode="General" sourceLinked="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A2FA-4CF6-800F-A6FA4CBB2715}"/>
                </c:ext>
              </c:extLst>
            </c:dLbl>
            <c:dLbl>
              <c:idx val="10"/>
              <c:numFmt formatCode="General" sourceLinked="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A2FA-4CF6-800F-A6FA4CBB2715}"/>
                </c:ext>
              </c:extLst>
            </c:dLbl>
            <c:dLbl>
              <c:idx val="11"/>
              <c:numFmt formatCode="General" sourceLinked="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A2FA-4CF6-800F-A6FA4CBB2715}"/>
                </c:ext>
              </c:extLst>
            </c:dLbl>
            <c:numFmt formatCode="General" sourceLinked="0"/>
            <c:spPr>
              <a:noFill/>
              <a:ln>
                <a:noFill/>
              </a:ln>
              <a:effectLst/>
            </c:spPr>
            <c:dLblPos val="bestFit"/>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Contribution!$A$2:$A$13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Contribution!$B$2:$B$13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8-A2FA-4CF6-800F-A6FA4CBB2715}"/>
            </c:ext>
          </c:extLst>
        </c:ser>
        <c:ser>
          <c:idx val="1"/>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A-A2FA-4CF6-800F-A6FA4CBB2715}"/>
              </c:ext>
            </c:extLst>
          </c:dPt>
          <c:dLbls>
            <c:dLbl>
              <c:idx val="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outEnd"/>
              <c:showLegendKey val="0"/>
              <c:showVal val="1"/>
              <c:showCatName val="1"/>
              <c:showSerName val="0"/>
              <c:showPercent val="0"/>
              <c:showBubbleSize val="0"/>
              <c:extLst>
                <c:ext xmlns:c16="http://schemas.microsoft.com/office/drawing/2014/chart" uri="{C3380CC4-5D6E-409C-BE32-E72D297353CC}">
                  <c16:uniqueId val="{0000001A-A2FA-4CF6-800F-A6FA4CBB2715}"/>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Lit>
              <c:formatCode>General</c:formatCode>
              <c:ptCount val="1"/>
              <c:pt idx="0">
                <c:v>1</c:v>
              </c:pt>
            </c:numLit>
          </c:val>
          <c:extLst>
            <c:ext xmlns:c16="http://schemas.microsoft.com/office/drawing/2014/chart" uri="{C3380CC4-5D6E-409C-BE32-E72D297353CC}">
              <c16:uniqueId val="{0000001B-A2FA-4CF6-800F-A6FA4CBB2715}"/>
            </c:ext>
          </c:extLst>
        </c:ser>
        <c:dLbls>
          <c:dLblPos val="outEnd"/>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dk1"/>
                </a:solidFill>
                <a:latin typeface="+mn-lt"/>
                <a:ea typeface="+mn-ea"/>
                <a:cs typeface="+mn-cs"/>
              </a:defRPr>
            </a:pPr>
            <a:r>
              <a:rPr lang="en-US"/>
              <a:t>% of contribution of each feedstuff for Proteins</a:t>
            </a:r>
          </a:p>
        </c:rich>
      </c:tx>
      <c:layout>
        <c:manualLayout>
          <c:xMode val="edge"/>
          <c:yMode val="edge"/>
          <c:x val="0.13939915793585869"/>
          <c:y val="2.9010890450342421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dk1"/>
              </a:solidFill>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Contribution!$D$1</c:f>
              <c:strCache>
                <c:ptCount val="1"/>
                <c:pt idx="0">
                  <c:v>% of contribution off each feedstuff for Proteins</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A3C-4510-8C15-D4F93B118C3B}"/>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A3C-4510-8C15-D4F93B118C3B}"/>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A3C-4510-8C15-D4F93B118C3B}"/>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A3C-4510-8C15-D4F93B118C3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AA3C-4510-8C15-D4F93B118C3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AA3C-4510-8C15-D4F93B118C3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AA3C-4510-8C15-D4F93B118C3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AA3C-4510-8C15-D4F93B118C3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AA3C-4510-8C15-D4F93B118C3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AA3C-4510-8C15-D4F93B118C3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AA3C-4510-8C15-D4F93B118C3B}"/>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AA3C-4510-8C15-D4F93B118C3B}"/>
              </c:ext>
            </c:extLst>
          </c:dPt>
          <c:dLbls>
            <c:dLbl>
              <c:idx val="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3C-4510-8C15-D4F93B118C3B}"/>
                </c:ext>
              </c:extLst>
            </c:dLbl>
            <c:dLbl>
              <c:idx val="1"/>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3C-4510-8C15-D4F93B118C3B}"/>
                </c:ext>
              </c:extLst>
            </c:dLbl>
            <c:dLbl>
              <c:idx val="2"/>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A3C-4510-8C15-D4F93B118C3B}"/>
                </c:ext>
              </c:extLst>
            </c:dLbl>
            <c:dLbl>
              <c:idx val="3"/>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A3C-4510-8C15-D4F93B118C3B}"/>
                </c:ext>
              </c:extLst>
            </c:dLbl>
            <c:dLbl>
              <c:idx val="4"/>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A3C-4510-8C15-D4F93B118C3B}"/>
                </c:ext>
              </c:extLst>
            </c:dLbl>
            <c:dLbl>
              <c:idx val="5"/>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AA3C-4510-8C15-D4F93B118C3B}"/>
                </c:ext>
              </c:extLst>
            </c:dLbl>
            <c:dLbl>
              <c:idx val="6"/>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AA3C-4510-8C15-D4F93B118C3B}"/>
                </c:ext>
              </c:extLst>
            </c:dLbl>
            <c:dLbl>
              <c:idx val="7"/>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AA3C-4510-8C15-D4F93B118C3B}"/>
                </c:ext>
              </c:extLst>
            </c:dLbl>
            <c:dLbl>
              <c:idx val="8"/>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AA3C-4510-8C15-D4F93B118C3B}"/>
                </c:ext>
              </c:extLst>
            </c:dLbl>
            <c:dLbl>
              <c:idx val="9"/>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AA3C-4510-8C15-D4F93B118C3B}"/>
                </c:ext>
              </c:extLst>
            </c:dLbl>
            <c:dLbl>
              <c:idx val="1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AA3C-4510-8C15-D4F93B118C3B}"/>
                </c:ext>
              </c:extLst>
            </c:dLbl>
            <c:dLbl>
              <c:idx val="11"/>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AA3C-4510-8C15-D4F93B118C3B}"/>
                </c:ext>
              </c:extLst>
            </c:dLbl>
            <c:spPr>
              <a:noFill/>
              <a:ln>
                <a:noFill/>
              </a:ln>
              <a:effectLst/>
            </c:spPr>
            <c:dLblPos val="bestFit"/>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Contribution!$A$2:$A$13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Contribution!$D$2:$D$13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8-AA3C-4510-8C15-D4F93B118C3B}"/>
            </c:ext>
          </c:extLst>
        </c:ser>
        <c:dLbls>
          <c:dLblPos val="outEnd"/>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dk1"/>
                </a:solidFill>
                <a:latin typeface="+mn-lt"/>
                <a:ea typeface="+mn-ea"/>
                <a:cs typeface="+mn-cs"/>
              </a:defRPr>
            </a:pPr>
            <a:r>
              <a:rPr lang="en-GB"/>
              <a:t>% of contribution of each feedstuff for Lysine</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dk1"/>
              </a:solidFill>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Contribution!$F$1</c:f>
              <c:strCache>
                <c:ptCount val="1"/>
                <c:pt idx="0">
                  <c:v>% of contribution off each feedstuff for Lysine</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E76-4537-8468-50695C676EF0}"/>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E76-4537-8468-50695C676EF0}"/>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E76-4537-8468-50695C676EF0}"/>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E76-4537-8468-50695C676EF0}"/>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6E76-4537-8468-50695C676EF0}"/>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6E76-4537-8468-50695C676EF0}"/>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6E76-4537-8468-50695C676EF0}"/>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6E76-4537-8468-50695C676EF0}"/>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6E76-4537-8468-50695C676EF0}"/>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6E76-4537-8468-50695C676EF0}"/>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6E76-4537-8468-50695C676EF0}"/>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6E76-4537-8468-50695C676EF0}"/>
              </c:ext>
            </c:extLst>
          </c:dPt>
          <c:dLbls>
            <c:dLbl>
              <c:idx val="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E76-4537-8468-50695C676EF0}"/>
                </c:ext>
              </c:extLst>
            </c:dLbl>
            <c:dLbl>
              <c:idx val="1"/>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E76-4537-8468-50695C676EF0}"/>
                </c:ext>
              </c:extLst>
            </c:dLbl>
            <c:dLbl>
              <c:idx val="2"/>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E76-4537-8468-50695C676EF0}"/>
                </c:ext>
              </c:extLst>
            </c:dLbl>
            <c:dLbl>
              <c:idx val="3"/>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E76-4537-8468-50695C676EF0}"/>
                </c:ext>
              </c:extLst>
            </c:dLbl>
            <c:dLbl>
              <c:idx val="4"/>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E76-4537-8468-50695C676EF0}"/>
                </c:ext>
              </c:extLst>
            </c:dLbl>
            <c:dLbl>
              <c:idx val="5"/>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6E76-4537-8468-50695C676EF0}"/>
                </c:ext>
              </c:extLst>
            </c:dLbl>
            <c:dLbl>
              <c:idx val="6"/>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E76-4537-8468-50695C676EF0}"/>
                </c:ext>
              </c:extLst>
            </c:dLbl>
            <c:dLbl>
              <c:idx val="7"/>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E76-4537-8468-50695C676EF0}"/>
                </c:ext>
              </c:extLst>
            </c:dLbl>
            <c:dLbl>
              <c:idx val="8"/>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6E76-4537-8468-50695C676EF0}"/>
                </c:ext>
              </c:extLst>
            </c:dLbl>
            <c:dLbl>
              <c:idx val="9"/>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6E76-4537-8468-50695C676EF0}"/>
                </c:ext>
              </c:extLst>
            </c:dLbl>
            <c:dLbl>
              <c:idx val="1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6E76-4537-8468-50695C676EF0}"/>
                </c:ext>
              </c:extLst>
            </c:dLbl>
            <c:dLbl>
              <c:idx val="11"/>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6E76-4537-8468-50695C676EF0}"/>
                </c:ext>
              </c:extLst>
            </c:dLbl>
            <c:spPr>
              <a:noFill/>
              <a:ln>
                <a:noFill/>
              </a:ln>
              <a:effectLst/>
            </c:spPr>
            <c:dLblPos val="bestFit"/>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Contribution!$A$2:$A$13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Contribution!$F$2:$F$13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8-6E76-4537-8468-50695C676EF0}"/>
            </c:ext>
          </c:extLst>
        </c:ser>
        <c:dLbls>
          <c:dLblPos val="outEnd"/>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dk1"/>
                </a:solidFill>
                <a:latin typeface="+mn-lt"/>
                <a:ea typeface="+mn-ea"/>
                <a:cs typeface="+mn-cs"/>
              </a:defRPr>
            </a:pPr>
            <a:r>
              <a:rPr lang="en-GB"/>
              <a:t>% of contribution of each feedstuff for Methionine</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dk1"/>
              </a:solidFill>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9722222222222225E-2"/>
          <c:y val="0.25114282589676284"/>
          <c:w val="0.81388888888888888"/>
          <c:h val="0.65757545931758532"/>
        </c:manualLayout>
      </c:layout>
      <c:pie3DChart>
        <c:varyColors val="1"/>
        <c:ser>
          <c:idx val="0"/>
          <c:order val="0"/>
          <c:tx>
            <c:strRef>
              <c:f>Contribution!$H$1</c:f>
              <c:strCache>
                <c:ptCount val="1"/>
                <c:pt idx="0">
                  <c:v>% of contribution off each feedstuff for Methionine</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1B37-4502-8945-D81885EED724}"/>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1B37-4502-8945-D81885EED72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1B37-4502-8945-D81885EED724}"/>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1B37-4502-8945-D81885EED724}"/>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1B37-4502-8945-D81885EED724}"/>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1B37-4502-8945-D81885EED724}"/>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1B37-4502-8945-D81885EED724}"/>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1B37-4502-8945-D81885EED724}"/>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1B37-4502-8945-D81885EED724}"/>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1B37-4502-8945-D81885EED724}"/>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1B37-4502-8945-D81885EED724}"/>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1B37-4502-8945-D81885EED724}"/>
              </c:ext>
            </c:extLst>
          </c:dPt>
          <c:dLbls>
            <c:dLbl>
              <c:idx val="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B37-4502-8945-D81885EED724}"/>
                </c:ext>
              </c:extLst>
            </c:dLbl>
            <c:dLbl>
              <c:idx val="1"/>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B37-4502-8945-D81885EED724}"/>
                </c:ext>
              </c:extLst>
            </c:dLbl>
            <c:dLbl>
              <c:idx val="2"/>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B37-4502-8945-D81885EED724}"/>
                </c:ext>
              </c:extLst>
            </c:dLbl>
            <c:dLbl>
              <c:idx val="3"/>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B37-4502-8945-D81885EED724}"/>
                </c:ext>
              </c:extLst>
            </c:dLbl>
            <c:dLbl>
              <c:idx val="4"/>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B37-4502-8945-D81885EED724}"/>
                </c:ext>
              </c:extLst>
            </c:dLbl>
            <c:dLbl>
              <c:idx val="5"/>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B37-4502-8945-D81885EED724}"/>
                </c:ext>
              </c:extLst>
            </c:dLbl>
            <c:dLbl>
              <c:idx val="6"/>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1B37-4502-8945-D81885EED724}"/>
                </c:ext>
              </c:extLst>
            </c:dLbl>
            <c:dLbl>
              <c:idx val="7"/>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1B37-4502-8945-D81885EED724}"/>
                </c:ext>
              </c:extLst>
            </c:dLbl>
            <c:dLbl>
              <c:idx val="8"/>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1B37-4502-8945-D81885EED724}"/>
                </c:ext>
              </c:extLst>
            </c:dLbl>
            <c:dLbl>
              <c:idx val="9"/>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1B37-4502-8945-D81885EED724}"/>
                </c:ext>
              </c:extLst>
            </c:dLbl>
            <c:dLbl>
              <c:idx val="1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1B37-4502-8945-D81885EED724}"/>
                </c:ext>
              </c:extLst>
            </c:dLbl>
            <c:dLbl>
              <c:idx val="11"/>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1B37-4502-8945-D81885EED724}"/>
                </c:ext>
              </c:extLst>
            </c:dLbl>
            <c:spPr>
              <a:noFill/>
              <a:ln>
                <a:noFill/>
              </a:ln>
              <a:effectLst/>
            </c:spPr>
            <c:dLblPos val="bestFit"/>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Contribution!$A$2:$A$13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Contribution!$H$2:$H$13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8-1B37-4502-8945-D81885EED724}"/>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chart" Target="../charts/chart3.xml"/><Relationship Id="rId7" Type="http://schemas.openxmlformats.org/officeDocument/2006/relationships/hyperlink" Target="https://feedtables.com/fr/charts/ranking?field_parameter_target_id=1662&amp;sort_by=field_value_as_fed_value&amp;sort_order=DESC"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ttps://feedtables.com/fr/charts/ranking?field_parameter_target_id=1660&amp;sort_by=field_value_as_fed_value&amp;sort_order=DESC" TargetMode="External"/><Relationship Id="rId5" Type="http://schemas.openxmlformats.org/officeDocument/2006/relationships/hyperlink" Target="https://www.youtube.com/watch?v=Hnw0xslWQEA" TargetMode="External"/><Relationship Id="rId4" Type="http://schemas.openxmlformats.org/officeDocument/2006/relationships/chart" Target="../charts/chart4.xml"/><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19049</xdr:colOff>
      <xdr:row>44</xdr:row>
      <xdr:rowOff>0</xdr:rowOff>
    </xdr:to>
    <xdr:sp macro="" textlink="">
      <xdr:nvSpPr>
        <xdr:cNvPr id="2" name="Rectangle 1">
          <a:extLst>
            <a:ext uri="{FF2B5EF4-FFF2-40B4-BE49-F238E27FC236}">
              <a16:creationId xmlns:a16="http://schemas.microsoft.com/office/drawing/2014/main" id="{00000000-0008-0000-0800-000002000000}"/>
            </a:ext>
          </a:extLst>
        </xdr:cNvPr>
        <xdr:cNvSpPr/>
      </xdr:nvSpPr>
      <xdr:spPr>
        <a:xfrm>
          <a:off x="0" y="0"/>
          <a:ext cx="7572374" cy="8382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10</xdr:row>
      <xdr:rowOff>152400</xdr:rowOff>
    </xdr:from>
    <xdr:to>
      <xdr:col>13</xdr:col>
      <xdr:colOff>0</xdr:colOff>
      <xdr:row>36</xdr:row>
      <xdr:rowOff>133350</xdr:rowOff>
    </xdr:to>
    <xdr:sp macro="" textlink="">
      <xdr:nvSpPr>
        <xdr:cNvPr id="3" name="Rectangle 2">
          <a:extLst>
            <a:ext uri="{FF2B5EF4-FFF2-40B4-BE49-F238E27FC236}">
              <a16:creationId xmlns:a16="http://schemas.microsoft.com/office/drawing/2014/main" id="{00000000-0008-0000-0800-000003000000}"/>
            </a:ext>
            <a:ext uri="{147F2762-F138-4A5C-976F-8EAC2B608ADB}">
              <a16:predDERef xmlns:a16="http://schemas.microsoft.com/office/drawing/2014/main" pred="{00000000-0008-0000-0600-00000F000000}"/>
            </a:ext>
          </a:extLst>
        </xdr:cNvPr>
        <xdr:cNvSpPr>
          <a:spLocks/>
        </xdr:cNvSpPr>
      </xdr:nvSpPr>
      <xdr:spPr>
        <a:xfrm>
          <a:off x="0" y="2057400"/>
          <a:ext cx="7553325" cy="4933950"/>
        </a:xfrm>
        <a:prstGeom prst="rect">
          <a:avLst/>
        </a:prstGeom>
        <a:solidFill>
          <a:schemeClr val="accent3">
            <a:lumMod val="20000"/>
            <a:lumOff val="80000"/>
          </a:schemeClr>
        </a:solidFill>
        <a:ln w="12700" cap="flat" cmpd="sng" algn="ctr">
          <a:noFill/>
          <a:prstDash val="solid"/>
          <a:miter lim="800000"/>
        </a:ln>
        <a:effectLst/>
      </xdr:spPr>
      <xdr:txBody>
        <a:bodyPr rot="0" spcFirstLastPara="0" vert="horz" wrap="square" lIns="252000" tIns="216000" rIns="216000" bIns="216000" numCol="1" spcCol="0" rtlCol="0" fromWordArt="0" anchor="t" anchorCtr="0" forceAA="0" compatLnSpc="1">
          <a:prstTxWarp prst="textNoShape">
            <a:avLst/>
          </a:prstTxWarp>
          <a:noAutofit/>
        </a:bodyPr>
        <a:lstStyle/>
        <a:p>
          <a:pPr marL="0" marR="0" indent="0" algn="l" defTabSz="914400" eaLnBrk="1" fontAlgn="auto" latinLnBrk="0" hangingPunct="1">
            <a:lnSpc>
              <a:spcPct val="115000"/>
            </a:lnSpc>
            <a:spcBef>
              <a:spcPts val="0"/>
            </a:spcBef>
            <a:spcAft>
              <a:spcPts val="1000"/>
            </a:spcAft>
            <a:buClrTx/>
            <a:buSzTx/>
            <a:buFontTx/>
            <a:buNone/>
            <a:tabLst/>
            <a:defRPr/>
          </a:pPr>
          <a:r>
            <a:rPr lang="fr-FR" sz="1200" b="1" cap="small">
              <a:solidFill>
                <a:sysClr val="windowText" lastClr="000000"/>
              </a:solidFill>
              <a:effectLst/>
              <a:latin typeface="+mn-lt"/>
              <a:ea typeface="Calibri" panose="020F0502020204030204" pitchFamily="34" charset="0"/>
              <a:cs typeface="Times New Roman" panose="02020603050405020304" pitchFamily="18" charset="0"/>
            </a:rPr>
            <a:t>Contact: antoine.roinsard@itab.asso.fr; barbara.frueh@fibl.org; ambra.desimone@organicseurope.bio and/or bram.moeskops@organicseurope.bio</a:t>
          </a:r>
        </a:p>
        <a:p>
          <a:pPr marL="0" marR="0" indent="0" algn="l" defTabSz="914400" eaLnBrk="1" fontAlgn="auto" latinLnBrk="0" hangingPunct="1">
            <a:lnSpc>
              <a:spcPct val="115000"/>
            </a:lnSpc>
            <a:spcBef>
              <a:spcPts val="0"/>
            </a:spcBef>
            <a:spcAft>
              <a:spcPts val="1000"/>
            </a:spcAft>
            <a:buClrTx/>
            <a:buSzTx/>
            <a:buFontTx/>
            <a:buNone/>
            <a:tabLst/>
            <a:defRPr/>
          </a:pPr>
          <a:r>
            <a:rPr lang="fr-FR" sz="1200" b="1" cap="small">
              <a:solidFill>
                <a:sysClr val="windowText" lastClr="000000"/>
              </a:solidFill>
              <a:effectLst/>
              <a:latin typeface="+mn-lt"/>
              <a:ea typeface="Calibri" panose="020F0502020204030204" pitchFamily="34" charset="0"/>
              <a:cs typeface="Times New Roman" panose="02020603050405020304" pitchFamily="18" charset="0"/>
            </a:rPr>
            <a:t>Contributers:</a:t>
          </a:r>
          <a:r>
            <a:rPr lang="fr-FR" sz="1200" b="1" cap="small" baseline="0">
              <a:solidFill>
                <a:sysClr val="windowText" lastClr="000000"/>
              </a:solidFill>
              <a:effectLst/>
              <a:latin typeface="+mn-lt"/>
              <a:ea typeface="Calibri" panose="020F0502020204030204" pitchFamily="34" charset="0"/>
              <a:cs typeface="Times New Roman" panose="02020603050405020304" pitchFamily="18" charset="0"/>
            </a:rPr>
            <a:t> </a:t>
          </a:r>
          <a:r>
            <a:rPr lang="fr-FR" sz="1200" b="0" cap="small" baseline="0">
              <a:solidFill>
                <a:sysClr val="windowText" lastClr="000000"/>
              </a:solidFill>
              <a:effectLst/>
              <a:latin typeface="+mn-lt"/>
              <a:ea typeface="Calibri" panose="020F0502020204030204" pitchFamily="34" charset="0"/>
              <a:cs typeface="Times New Roman" panose="02020603050405020304" pitchFamily="18" charset="0"/>
            </a:rPr>
            <a:t>Loïc Labidalle, Antoine Roinsard, Muhammad Sani Ahmad, Barbara Frueh</a:t>
          </a:r>
        </a:p>
        <a:p>
          <a:pPr marL="0" marR="0" indent="0" algn="l" defTabSz="914400" eaLnBrk="1" fontAlgn="auto" latinLnBrk="0" hangingPunct="1">
            <a:lnSpc>
              <a:spcPct val="115000"/>
            </a:lnSpc>
            <a:spcBef>
              <a:spcPts val="0"/>
            </a:spcBef>
            <a:spcAft>
              <a:spcPts val="1000"/>
            </a:spcAft>
            <a:buClrTx/>
            <a:buSzTx/>
            <a:buFontTx/>
            <a:buNone/>
            <a:tabLst/>
            <a:defRPr/>
          </a:pPr>
          <a:r>
            <a:rPr lang="fr-FR" sz="1200" b="1">
              <a:effectLst/>
              <a:latin typeface="+mn-lt"/>
              <a:ea typeface="+mn-ea"/>
              <a:cs typeface="+mn-cs"/>
            </a:rPr>
            <a:t>To site the tool: </a:t>
          </a:r>
          <a:r>
            <a:rPr lang="fr-FR" sz="1200">
              <a:effectLst/>
              <a:latin typeface="+mn-lt"/>
              <a:ea typeface="+mn-ea"/>
              <a:cs typeface="+mn-cs"/>
            </a:rPr>
            <a:t>Loïc Labidalle, Antoine Roinsard, Muhammad Sani Ahmad, Barbara</a:t>
          </a:r>
          <a:r>
            <a:rPr lang="fr-FR" sz="1200" baseline="0">
              <a:effectLst/>
              <a:latin typeface="+mn-lt"/>
              <a:ea typeface="+mn-ea"/>
              <a:cs typeface="+mn-cs"/>
            </a:rPr>
            <a:t> Frueh, Lauren Dietemann</a:t>
          </a:r>
          <a:r>
            <a:rPr lang="fr-FR" sz="1200">
              <a:effectLst/>
              <a:latin typeface="+mn-lt"/>
              <a:ea typeface="+mn-ea"/>
              <a:cs typeface="+mn-cs"/>
            </a:rPr>
            <a:t> (2020): Ration Planning Tool: Poultry and swine. Research Institute of Organic Agriculture FiBL, Frick, IFOAM – Organics International, Bonn and ITAB Institute, Angers.</a:t>
          </a:r>
        </a:p>
        <a:p>
          <a:pPr marL="0" marR="0" indent="0" algn="l" defTabSz="914400" eaLnBrk="1" fontAlgn="auto" latinLnBrk="0" hangingPunct="1">
            <a:lnSpc>
              <a:spcPct val="100000"/>
            </a:lnSpc>
            <a:spcBef>
              <a:spcPts val="0"/>
            </a:spcBef>
            <a:spcAft>
              <a:spcPts val="0"/>
            </a:spcAft>
            <a:buClrTx/>
            <a:buSzTx/>
            <a:buFontTx/>
            <a:buNone/>
            <a:tabLst/>
            <a:defRPr/>
          </a:pPr>
          <a:r>
            <a:rPr lang="fr-FR" sz="1200" b="0" i="1" u="none" strike="noStrike" baseline="0">
              <a:latin typeface="+mn-lt"/>
              <a:ea typeface="+mn-ea"/>
              <a:cs typeface="+mn-cs"/>
            </a:rPr>
            <a:t>OK-Net EcoFeed is aimed at helping organic pig and poultry farmers in achieving the goal of 100% use of organic and regional feed. The 3-year project will extend the OK-Net knowledge platform. It is coordinated by IFOAM EU and consists of 11 partners and 8 third linked parties from 12 countries.</a:t>
          </a:r>
        </a:p>
        <a:p>
          <a:pPr marL="0" marR="0" indent="0" algn="l" defTabSz="914400" eaLnBrk="1" fontAlgn="auto" latinLnBrk="0" hangingPunct="1">
            <a:lnSpc>
              <a:spcPct val="100000"/>
            </a:lnSpc>
            <a:spcBef>
              <a:spcPts val="0"/>
            </a:spcBef>
            <a:spcAft>
              <a:spcPts val="0"/>
            </a:spcAft>
            <a:buClrTx/>
            <a:buSzTx/>
            <a:buFontTx/>
            <a:buNone/>
            <a:tabLst/>
            <a:defRPr/>
          </a:pPr>
          <a:endParaRPr lang="fr-FR" sz="1200">
            <a:effectLst/>
            <a:latin typeface="+mn-lt"/>
          </a:endParaRPr>
        </a:p>
        <a:p>
          <a:pPr algn="l">
            <a:lnSpc>
              <a:spcPct val="115000"/>
            </a:lnSpc>
            <a:spcAft>
              <a:spcPts val="1000"/>
            </a:spcAft>
          </a:pPr>
          <a:r>
            <a:rPr lang="fr-FR" sz="1200" b="1">
              <a:solidFill>
                <a:schemeClr val="tx1"/>
              </a:solidFill>
              <a:effectLst/>
              <a:latin typeface="+mn-lt"/>
              <a:ea typeface="Calibri" panose="020F0502020204030204" pitchFamily="34" charset="0"/>
              <a:cs typeface="Times New Roman" panose="02020603050405020304" pitchFamily="18" charset="0"/>
            </a:rPr>
            <a:t>OK-Net Ecofeed</a:t>
          </a:r>
          <a:r>
            <a:rPr lang="fr-FR" sz="1200" b="1" baseline="0">
              <a:solidFill>
                <a:schemeClr val="tx1"/>
              </a:solidFill>
              <a:effectLst/>
              <a:latin typeface="+mn-lt"/>
              <a:ea typeface="Calibri" panose="020F0502020204030204" pitchFamily="34" charset="0"/>
              <a:cs typeface="Times New Roman" panose="02020603050405020304" pitchFamily="18" charset="0"/>
            </a:rPr>
            <a:t> p</a:t>
          </a:r>
          <a:r>
            <a:rPr lang="fr-FR" sz="1200" b="1">
              <a:solidFill>
                <a:schemeClr val="tx1"/>
              </a:solidFill>
              <a:effectLst/>
              <a:latin typeface="+mn-lt"/>
              <a:ea typeface="Calibri" panose="020F0502020204030204" pitchFamily="34" charset="0"/>
              <a:cs typeface="Times New Roman" panose="02020603050405020304" pitchFamily="18" charset="0"/>
            </a:rPr>
            <a:t>artners: </a:t>
          </a:r>
          <a:r>
            <a:rPr lang="fr-FR" sz="1200" b="0">
              <a:solidFill>
                <a:schemeClr val="tx1"/>
              </a:solidFill>
              <a:effectLst/>
              <a:latin typeface="+mn-lt"/>
              <a:ea typeface="Calibri" panose="020F0502020204030204" pitchFamily="34" charset="0"/>
              <a:cs typeface="Times New Roman" panose="02020603050405020304" pitchFamily="18" charset="0"/>
            </a:rPr>
            <a:t>IFOAM Organics Europe, Aarhus University / ICROFS (DK), Organic Research Centre (UK), ITAB (FR), FiBL Switzerland (CH), Bioland (DE), AIAB (Italy), DS Austria (AT), Swedish University of Agricultural Sciences (SE),  Ecovalia (ES),  Soil Association (UK)</a:t>
          </a:r>
          <a:r>
            <a:rPr lang="fr-FR" sz="1200" b="1">
              <a:solidFill>
                <a:schemeClr val="tx1"/>
              </a:solidFill>
              <a:effectLst/>
              <a:latin typeface="+mn-lt"/>
              <a:ea typeface="Calibri" panose="020F0502020204030204" pitchFamily="34" charset="0"/>
              <a:cs typeface="Times New Roman" panose="02020603050405020304" pitchFamily="18" charset="0"/>
            </a:rPr>
            <a:t> </a:t>
          </a:r>
        </a:p>
        <a:p>
          <a:pPr algn="l">
            <a:lnSpc>
              <a:spcPct val="115000"/>
            </a:lnSpc>
            <a:spcAft>
              <a:spcPts val="1000"/>
            </a:spcAft>
          </a:pPr>
          <a:r>
            <a:rPr lang="fr-FR" sz="1200" b="1">
              <a:solidFill>
                <a:schemeClr val="tx1"/>
              </a:solidFill>
              <a:effectLst/>
              <a:latin typeface="+mn-lt"/>
              <a:ea typeface="Calibri" panose="020F0502020204030204" pitchFamily="34" charset="0"/>
              <a:cs typeface="Times New Roman" panose="02020603050405020304" pitchFamily="18" charset="0"/>
            </a:rPr>
            <a:t>Disclaimer:</a:t>
          </a:r>
          <a:r>
            <a:rPr lang="fr-FR" sz="1200" b="1" baseline="0">
              <a:solidFill>
                <a:schemeClr val="tx1"/>
              </a:solidFill>
              <a:effectLst/>
              <a:latin typeface="+mn-lt"/>
              <a:ea typeface="Calibri" panose="020F0502020204030204" pitchFamily="34" charset="0"/>
              <a:cs typeface="Times New Roman" panose="02020603050405020304" pitchFamily="18" charset="0"/>
            </a:rPr>
            <a:t> </a:t>
          </a:r>
          <a:r>
            <a:rPr lang="fr-FR" sz="1200">
              <a:solidFill>
                <a:schemeClr val="tx1"/>
              </a:solidFill>
              <a:effectLst/>
              <a:latin typeface="+mn-lt"/>
              <a:ea typeface="Calibri" panose="020F0502020204030204" pitchFamily="34" charset="0"/>
              <a:cs typeface="Times New Roman" panose="02020603050405020304" pitchFamily="18" charset="0"/>
            </a:rPr>
            <a:t>The information contained in this tool is for information purposes only. Furthermore, the consistency of the results depends on the data entered by the user (choice and cost of available raw materials, new data specific to the user, etc.).</a:t>
          </a:r>
        </a:p>
        <a:p>
          <a:pPr algn="l">
            <a:lnSpc>
              <a:spcPct val="115000"/>
            </a:lnSpc>
            <a:spcAft>
              <a:spcPts val="1000"/>
            </a:spcAft>
          </a:pPr>
          <a:r>
            <a:rPr lang="fr-FR" sz="1200">
              <a:solidFill>
                <a:schemeClr val="tx1"/>
              </a:solidFill>
              <a:effectLst/>
              <a:latin typeface="+mn-lt"/>
              <a:ea typeface="Calibri" panose="020F0502020204030204" pitchFamily="34" charset="0"/>
              <a:cs typeface="Times New Roman" panose="02020603050405020304" pitchFamily="18" charset="0"/>
            </a:rPr>
            <a:t>The use of this tool and the proposed results (feeding recommendations or others) are not the responsibility of FiBL or ITAB in any capacity. The user alone is responsible for the proper use and interpretation of information from this tool.</a:t>
          </a:r>
        </a:p>
      </xdr:txBody>
    </xdr:sp>
    <xdr:clientData/>
  </xdr:twoCellAnchor>
  <xdr:twoCellAnchor>
    <xdr:from>
      <xdr:col>0</xdr:col>
      <xdr:colOff>0</xdr:colOff>
      <xdr:row>0</xdr:row>
      <xdr:rowOff>9526</xdr:rowOff>
    </xdr:from>
    <xdr:to>
      <xdr:col>13</xdr:col>
      <xdr:colOff>0</xdr:colOff>
      <xdr:row>5</xdr:row>
      <xdr:rowOff>38100</xdr:rowOff>
    </xdr:to>
    <xdr:sp macro="" textlink="">
      <xdr:nvSpPr>
        <xdr:cNvPr id="4" name="Rectangle 3">
          <a:extLst>
            <a:ext uri="{FF2B5EF4-FFF2-40B4-BE49-F238E27FC236}">
              <a16:creationId xmlns:a16="http://schemas.microsoft.com/office/drawing/2014/main" id="{00000000-0008-0000-0800-000004000000}"/>
            </a:ext>
          </a:extLst>
        </xdr:cNvPr>
        <xdr:cNvSpPr>
          <a:spLocks/>
        </xdr:cNvSpPr>
      </xdr:nvSpPr>
      <xdr:spPr>
        <a:xfrm>
          <a:off x="0" y="9526"/>
          <a:ext cx="7924800" cy="981074"/>
        </a:xfrm>
        <a:prstGeom prst="rect">
          <a:avLst/>
        </a:prstGeom>
        <a:solidFill>
          <a:srgbClr val="92D050"/>
        </a:solidFill>
        <a:ln w="12700" cap="flat" cmpd="sng" algn="ctr">
          <a:noFill/>
          <a:prstDash val="solid"/>
          <a:miter lim="800000"/>
        </a:ln>
        <a:effectLst/>
      </xdr:spPr>
      <xdr:txBody>
        <a:bodyPr rot="0" spcFirstLastPara="0" vert="horz" wrap="square" lIns="216000" tIns="216000" rIns="216000" bIns="216000" numCol="1" spcCol="0" rtlCol="0" fromWordArt="0" anchor="t" anchorCtr="0" forceAA="0" compatLnSpc="1">
          <a:prstTxWarp prst="textNoShape">
            <a:avLst/>
          </a:prstTxWarp>
          <a:noAutofit/>
        </a:bodyPr>
        <a:lstStyle/>
        <a:p>
          <a:pPr algn="ctr">
            <a:lnSpc>
              <a:spcPct val="115000"/>
            </a:lnSpc>
            <a:spcAft>
              <a:spcPts val="200"/>
            </a:spcAft>
          </a:pPr>
          <a:r>
            <a:rPr lang="fr-FR" sz="1600" b="1">
              <a:solidFill>
                <a:sysClr val="windowText" lastClr="000000"/>
              </a:solidFill>
              <a:effectLst/>
              <a:latin typeface="+mn-lt"/>
              <a:ea typeface="Calibri" panose="020F0502020204030204" pitchFamily="34" charset="0"/>
              <a:cs typeface="Times New Roman" panose="02020603050405020304" pitchFamily="18" charset="0"/>
            </a:rPr>
            <a:t>Ration</a:t>
          </a:r>
          <a:r>
            <a:rPr lang="fr-FR" sz="1600" b="1" baseline="0">
              <a:solidFill>
                <a:sysClr val="windowText" lastClr="000000"/>
              </a:solidFill>
              <a:effectLst/>
              <a:latin typeface="+mn-lt"/>
              <a:ea typeface="Calibri" panose="020F0502020204030204" pitchFamily="34" charset="0"/>
              <a:cs typeface="Times New Roman" panose="02020603050405020304" pitchFamily="18" charset="0"/>
            </a:rPr>
            <a:t> Planning Tool: Poultry</a:t>
          </a:r>
        </a:p>
        <a:p>
          <a:pPr algn="ctr">
            <a:lnSpc>
              <a:spcPct val="115000"/>
            </a:lnSpc>
            <a:spcAft>
              <a:spcPts val="200"/>
            </a:spcAft>
          </a:pPr>
          <a:r>
            <a:rPr lang="fr-FR" sz="1600" b="1" baseline="0">
              <a:solidFill>
                <a:sysClr val="windowText" lastClr="000000"/>
              </a:solidFill>
              <a:effectLst/>
              <a:latin typeface="+mn-lt"/>
              <a:ea typeface="Calibri" panose="020F0502020204030204" pitchFamily="34" charset="0"/>
              <a:cs typeface="Times New Roman" panose="02020603050405020304" pitchFamily="18" charset="0"/>
            </a:rPr>
            <a:t>Impressum and further information</a:t>
          </a:r>
          <a:endParaRPr lang="fr-FR" sz="1600" b="1">
            <a:solidFill>
              <a:sysClr val="windowText" lastClr="000000"/>
            </a:solidFill>
            <a:effectLst/>
            <a:latin typeface="+mn-lt"/>
            <a:ea typeface="Calibri" panose="020F0502020204030204" pitchFamily="34" charset="0"/>
            <a:cs typeface="Times New Roman" panose="02020603050405020304" pitchFamily="18" charset="0"/>
          </a:endParaRPr>
        </a:p>
      </xdr:txBody>
    </xdr:sp>
    <xdr:clientData/>
  </xdr:twoCellAnchor>
  <xdr:oneCellAnchor>
    <xdr:from>
      <xdr:col>3</xdr:col>
      <xdr:colOff>196990</xdr:colOff>
      <xdr:row>6</xdr:row>
      <xdr:rowOff>38100</xdr:rowOff>
    </xdr:from>
    <xdr:ext cx="2163186" cy="714375"/>
    <xdr:pic>
      <xdr:nvPicPr>
        <xdr:cNvPr id="5" name="Image 5" descr="https://www.terre-net.fr/ulf/TNM_Biblio/fiche_145882/fiches_Nouveau_logo_de_lItab.jpg">
          <a:extLst>
            <a:ext uri="{FF2B5EF4-FFF2-40B4-BE49-F238E27FC236}">
              <a16:creationId xmlns:a16="http://schemas.microsoft.com/office/drawing/2014/main" id="{00000000-0008-0000-0800-000005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017" t="18373" r="7377" b="16490"/>
        <a:stretch/>
      </xdr:blipFill>
      <xdr:spPr bwMode="auto">
        <a:xfrm>
          <a:off x="2025790" y="1181100"/>
          <a:ext cx="2163186" cy="714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19050</xdr:colOff>
      <xdr:row>6</xdr:row>
      <xdr:rowOff>104776</xdr:rowOff>
    </xdr:from>
    <xdr:ext cx="899408" cy="380999"/>
    <xdr:pic>
      <xdr:nvPicPr>
        <xdr:cNvPr id="7" name="Picture 6">
          <a:extLst>
            <a:ext uri="{FF2B5EF4-FFF2-40B4-BE49-F238E27FC236}">
              <a16:creationId xmlns:a16="http://schemas.microsoft.com/office/drawing/2014/main" id="{00000000-0008-0000-0800-000007000000}"/>
            </a:ext>
            <a:ext uri="{147F2762-F138-4A5C-976F-8EAC2B608ADB}">
              <a16:predDERef xmlns:a16="http://schemas.microsoft.com/office/drawing/2014/main" pred="{00000000-0008-0000-06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15050" y="1247776"/>
          <a:ext cx="899408" cy="380999"/>
        </a:xfrm>
        <a:prstGeom prst="rect">
          <a:avLst/>
        </a:prstGeom>
      </xdr:spPr>
    </xdr:pic>
    <xdr:clientData/>
  </xdr:oneCellAnchor>
  <xdr:oneCellAnchor>
    <xdr:from>
      <xdr:col>7</xdr:col>
      <xdr:colOff>164609</xdr:colOff>
      <xdr:row>5</xdr:row>
      <xdr:rowOff>136965</xdr:rowOff>
    </xdr:from>
    <xdr:ext cx="1193194" cy="806010"/>
    <xdr:pic>
      <xdr:nvPicPr>
        <xdr:cNvPr id="8" name="Picture 7">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31809" y="1089465"/>
          <a:ext cx="1193194" cy="806010"/>
        </a:xfrm>
        <a:prstGeom prst="rect">
          <a:avLst/>
        </a:prstGeom>
      </xdr:spPr>
    </xdr:pic>
    <xdr:clientData/>
  </xdr:oneCellAnchor>
  <xdr:oneCellAnchor>
    <xdr:from>
      <xdr:col>0</xdr:col>
      <xdr:colOff>504825</xdr:colOff>
      <xdr:row>6</xdr:row>
      <xdr:rowOff>117455</xdr:rowOff>
    </xdr:from>
    <xdr:ext cx="1295400" cy="484255"/>
    <xdr:pic>
      <xdr:nvPicPr>
        <xdr:cNvPr id="9" name="Picture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4825" y="1260455"/>
          <a:ext cx="1295400" cy="484255"/>
        </a:xfrm>
        <a:prstGeom prst="rect">
          <a:avLst/>
        </a:prstGeom>
      </xdr:spPr>
    </xdr:pic>
    <xdr:clientData/>
  </xdr:oneCellAnchor>
  <xdr:oneCellAnchor>
    <xdr:from>
      <xdr:col>11</xdr:col>
      <xdr:colOff>219075</xdr:colOff>
      <xdr:row>41</xdr:row>
      <xdr:rowOff>161925</xdr:rowOff>
    </xdr:from>
    <xdr:ext cx="304800" cy="304800"/>
    <xdr:pic>
      <xdr:nvPicPr>
        <xdr:cNvPr id="10" name="Image 4" descr="Attribution">
          <a:extLst>
            <a:ext uri="{FF2B5EF4-FFF2-40B4-BE49-F238E27FC236}">
              <a16:creationId xmlns:a16="http://schemas.microsoft.com/office/drawing/2014/main" id="{00000000-0008-0000-08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10350" y="7972425"/>
          <a:ext cx="304800" cy="304800"/>
        </a:xfrm>
        <a:prstGeom prst="rect">
          <a:avLst/>
        </a:prstGeom>
        <a:noFill/>
        <a:ln>
          <a:noFill/>
        </a:ln>
      </xdr:spPr>
    </xdr:pic>
    <xdr:clientData/>
  </xdr:oneCellAnchor>
  <xdr:oneCellAnchor>
    <xdr:from>
      <xdr:col>11</xdr:col>
      <xdr:colOff>542925</xdr:colOff>
      <xdr:row>41</xdr:row>
      <xdr:rowOff>171450</xdr:rowOff>
    </xdr:from>
    <xdr:ext cx="304800" cy="304800"/>
    <xdr:pic>
      <xdr:nvPicPr>
        <xdr:cNvPr id="11" name="Image 1" descr="NoDerivatives">
          <a:extLst>
            <a:ext uri="{FF2B5EF4-FFF2-40B4-BE49-F238E27FC236}">
              <a16:creationId xmlns:a16="http://schemas.microsoft.com/office/drawing/2014/main" id="{00000000-0008-0000-0800-00000B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934200" y="7981950"/>
          <a:ext cx="304800" cy="304800"/>
        </a:xfrm>
        <a:prstGeom prst="rect">
          <a:avLst/>
        </a:prstGeom>
        <a:noFill/>
        <a:ln>
          <a:noFill/>
        </a:ln>
      </xdr:spPr>
    </xdr:pic>
    <xdr:clientData/>
  </xdr:oneCellAnchor>
  <xdr:twoCellAnchor editAs="oneCell">
    <xdr:from>
      <xdr:col>1</xdr:col>
      <xdr:colOff>476250</xdr:colOff>
      <xdr:row>37</xdr:row>
      <xdr:rowOff>114301</xdr:rowOff>
    </xdr:from>
    <xdr:to>
      <xdr:col>10</xdr:col>
      <xdr:colOff>285750</xdr:colOff>
      <xdr:row>43</xdr:row>
      <xdr:rowOff>11055</xdr:rowOff>
    </xdr:to>
    <xdr:pic>
      <xdr:nvPicPr>
        <xdr:cNvPr id="12" name="Picture 11">
          <a:extLst>
            <a:ext uri="{FF2B5EF4-FFF2-40B4-BE49-F238E27FC236}">
              <a16:creationId xmlns:a16="http://schemas.microsoft.com/office/drawing/2014/main" id="{00000000-0008-0000-0800-00000C000000}"/>
            </a:ext>
          </a:extLst>
        </xdr:cNvPr>
        <xdr:cNvPicPr>
          <a:picLocks noChangeAspect="1"/>
        </xdr:cNvPicPr>
      </xdr:nvPicPr>
      <xdr:blipFill>
        <a:blip xmlns:r="http://schemas.openxmlformats.org/officeDocument/2006/relationships" r:embed="rId7"/>
        <a:stretch>
          <a:fillRect/>
        </a:stretch>
      </xdr:blipFill>
      <xdr:spPr>
        <a:xfrm>
          <a:off x="1057275" y="7162801"/>
          <a:ext cx="5038725" cy="10397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320426</xdr:colOff>
      <xdr:row>9</xdr:row>
      <xdr:rowOff>182480</xdr:rowOff>
    </xdr:from>
    <xdr:ext cx="1700893" cy="446509"/>
    <xdr:sp macro="[0]!RESETALL" textlink="">
      <xdr:nvSpPr>
        <xdr:cNvPr id="2" name="ZoneTexte 1">
          <a:extLst>
            <a:ext uri="{FF2B5EF4-FFF2-40B4-BE49-F238E27FC236}">
              <a16:creationId xmlns:a16="http://schemas.microsoft.com/office/drawing/2014/main" id="{00000000-0008-0000-0100-000002000000}"/>
            </a:ext>
          </a:extLst>
        </xdr:cNvPr>
        <xdr:cNvSpPr txBox="1"/>
      </xdr:nvSpPr>
      <xdr:spPr>
        <a:xfrm>
          <a:off x="5605265" y="1841674"/>
          <a:ext cx="1700893" cy="446509"/>
        </a:xfrm>
        <a:prstGeom prst="snip2DiagRect">
          <a:avLst/>
        </a:prstGeom>
        <a:solidFill>
          <a:srgbClr val="FFC00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spAutoFit/>
        </a:bodyPr>
        <a:lstStyle/>
        <a:p>
          <a:r>
            <a:rPr lang="fr-FR" sz="1800" b="0" cap="none" spc="0">
              <a:ln w="0"/>
              <a:solidFill>
                <a:schemeClr val="tx1"/>
              </a:solidFill>
              <a:effectLst>
                <a:outerShdw blurRad="38100" dist="19050" dir="2700000" algn="tl" rotWithShape="0">
                  <a:schemeClr val="dk1">
                    <a:alpha val="40000"/>
                  </a:schemeClr>
                </a:outerShdw>
              </a:effectLst>
            </a:rPr>
            <a:t>RESET ALL</a:t>
          </a:r>
        </a:p>
      </xdr:txBody>
    </xdr:sp>
    <xdr:clientData/>
  </xdr:oneCellAnchor>
  <xdr:oneCellAnchor>
    <xdr:from>
      <xdr:col>19</xdr:col>
      <xdr:colOff>506186</xdr:colOff>
      <xdr:row>2</xdr:row>
      <xdr:rowOff>65810</xdr:rowOff>
    </xdr:from>
    <xdr:ext cx="1698172" cy="446509"/>
    <xdr:sp macro="[0]!PRINT_PDF" textlink="">
      <xdr:nvSpPr>
        <xdr:cNvPr id="3" name="ZoneTexte 2">
          <a:extLst>
            <a:ext uri="{FF2B5EF4-FFF2-40B4-BE49-F238E27FC236}">
              <a16:creationId xmlns:a16="http://schemas.microsoft.com/office/drawing/2014/main" id="{00000000-0008-0000-0100-000003000000}"/>
            </a:ext>
          </a:extLst>
        </xdr:cNvPr>
        <xdr:cNvSpPr txBox="1"/>
      </xdr:nvSpPr>
      <xdr:spPr>
        <a:xfrm>
          <a:off x="12929507" y="337953"/>
          <a:ext cx="1698172" cy="446509"/>
        </a:xfrm>
        <a:prstGeom prst="snip2DiagRect">
          <a:avLst/>
        </a:prstGeom>
        <a:ln/>
      </xdr:spPr>
      <xdr:style>
        <a:lnRef idx="3">
          <a:schemeClr val="lt1"/>
        </a:lnRef>
        <a:fillRef idx="1">
          <a:schemeClr val="accent4"/>
        </a:fillRef>
        <a:effectRef idx="1">
          <a:schemeClr val="accent4"/>
        </a:effectRef>
        <a:fontRef idx="minor">
          <a:schemeClr val="lt1"/>
        </a:fontRef>
      </xdr:style>
      <xdr:txBody>
        <a:bodyPr vertOverflow="clip" horzOverflow="clip" wrap="square" rtlCol="0" anchor="t">
          <a:spAutoFit/>
        </a:bodyPr>
        <a:lstStyle/>
        <a:p>
          <a:r>
            <a:rPr lang="fr-FR" sz="1800" b="0" cap="none" spc="0">
              <a:ln w="0"/>
              <a:solidFill>
                <a:schemeClr val="tx1"/>
              </a:solidFill>
              <a:effectLst>
                <a:outerShdw blurRad="38100" dist="19050" dir="2700000" algn="tl" rotWithShape="0">
                  <a:schemeClr val="dk1">
                    <a:alpha val="40000"/>
                  </a:schemeClr>
                </a:outerShdw>
              </a:effectLst>
            </a:rPr>
            <a:t>PRINT</a:t>
          </a:r>
        </a:p>
      </xdr:txBody>
    </xdr:sp>
    <xdr:clientData/>
  </xdr:oneCellAnchor>
  <xdr:oneCellAnchor>
    <xdr:from>
      <xdr:col>19</xdr:col>
      <xdr:colOff>508907</xdr:colOff>
      <xdr:row>5</xdr:row>
      <xdr:rowOff>68532</xdr:rowOff>
    </xdr:from>
    <xdr:ext cx="1698172" cy="446509"/>
    <xdr:sp macro="[0]!SAVEXLS" textlink="">
      <xdr:nvSpPr>
        <xdr:cNvPr id="4" name="ZoneTexte 3">
          <a:extLst>
            <a:ext uri="{FF2B5EF4-FFF2-40B4-BE49-F238E27FC236}">
              <a16:creationId xmlns:a16="http://schemas.microsoft.com/office/drawing/2014/main" id="{00000000-0008-0000-0100-000004000000}"/>
            </a:ext>
          </a:extLst>
        </xdr:cNvPr>
        <xdr:cNvSpPr txBox="1"/>
      </xdr:nvSpPr>
      <xdr:spPr>
        <a:xfrm>
          <a:off x="13133862" y="969077"/>
          <a:ext cx="1698172" cy="446509"/>
        </a:xfrm>
        <a:prstGeom prst="snip2DiagRect">
          <a:avLst/>
        </a:prstGeom>
        <a:ln/>
      </xdr:spPr>
      <xdr:style>
        <a:lnRef idx="3">
          <a:schemeClr val="lt1"/>
        </a:lnRef>
        <a:fillRef idx="1">
          <a:schemeClr val="accent4"/>
        </a:fillRef>
        <a:effectRef idx="1">
          <a:schemeClr val="accent4"/>
        </a:effectRef>
        <a:fontRef idx="minor">
          <a:schemeClr val="lt1"/>
        </a:fontRef>
      </xdr:style>
      <xdr:txBody>
        <a:bodyPr vertOverflow="clip" horzOverflow="clip" wrap="square" rtlCol="0" anchor="t">
          <a:spAutoFit/>
        </a:bodyPr>
        <a:lstStyle/>
        <a:p>
          <a:r>
            <a:rPr lang="fr-FR" sz="1800" b="0" cap="none" spc="0">
              <a:ln w="0"/>
              <a:solidFill>
                <a:schemeClr val="tx1"/>
              </a:solidFill>
              <a:effectLst>
                <a:outerShdw blurRad="38100" dist="19050" dir="2700000" algn="tl" rotWithShape="0">
                  <a:schemeClr val="dk1">
                    <a:alpha val="40000"/>
                  </a:schemeClr>
                </a:outerShdw>
              </a:effectLst>
            </a:rPr>
            <a:t>SAVE.xls</a:t>
          </a:r>
        </a:p>
      </xdr:txBody>
    </xdr:sp>
    <xdr:clientData/>
  </xdr:oneCellAnchor>
  <xdr:oneCellAnchor>
    <xdr:from>
      <xdr:col>3</xdr:col>
      <xdr:colOff>1583595</xdr:colOff>
      <xdr:row>28</xdr:row>
      <xdr:rowOff>216551</xdr:rowOff>
    </xdr:from>
    <xdr:ext cx="1698172" cy="446509"/>
    <xdr:sp macro="[0]!RESETRATION" textlink="">
      <xdr:nvSpPr>
        <xdr:cNvPr id="5" name="ZoneTexte 4">
          <a:extLst>
            <a:ext uri="{FF2B5EF4-FFF2-40B4-BE49-F238E27FC236}">
              <a16:creationId xmlns:a16="http://schemas.microsoft.com/office/drawing/2014/main" id="{00000000-0008-0000-0100-000005000000}"/>
            </a:ext>
          </a:extLst>
        </xdr:cNvPr>
        <xdr:cNvSpPr txBox="1"/>
      </xdr:nvSpPr>
      <xdr:spPr>
        <a:xfrm>
          <a:off x="1922620" y="6286720"/>
          <a:ext cx="1698172" cy="446509"/>
        </a:xfrm>
        <a:prstGeom prst="snip2DiagRect">
          <a:avLst/>
        </a:prstGeom>
        <a:solidFill>
          <a:schemeClr val="accent4"/>
        </a:solidFill>
        <a:ln/>
      </xdr:spPr>
      <xdr:style>
        <a:lnRef idx="3">
          <a:schemeClr val="lt1"/>
        </a:lnRef>
        <a:fillRef idx="1">
          <a:schemeClr val="accent4"/>
        </a:fillRef>
        <a:effectRef idx="1">
          <a:schemeClr val="accent4"/>
        </a:effectRef>
        <a:fontRef idx="minor">
          <a:schemeClr val="lt1"/>
        </a:fontRef>
      </xdr:style>
      <xdr:txBody>
        <a:bodyPr vertOverflow="clip" horzOverflow="clip" wrap="square" rtlCol="0" anchor="t">
          <a:spAutoFit/>
        </a:bodyPr>
        <a:lstStyle/>
        <a:p>
          <a:r>
            <a:rPr lang="fr-FR" sz="1800" b="0" cap="none" spc="0">
              <a:ln w="0"/>
              <a:solidFill>
                <a:schemeClr val="tx1"/>
              </a:solidFill>
              <a:effectLst>
                <a:outerShdw blurRad="38100" dist="19050" dir="2700000" algn="tl" rotWithShape="0">
                  <a:schemeClr val="dk1">
                    <a:alpha val="40000"/>
                  </a:schemeClr>
                </a:outerShdw>
              </a:effectLst>
            </a:rPr>
            <a:t>RESET RATION</a:t>
          </a:r>
        </a:p>
      </xdr:txBody>
    </xdr:sp>
    <xdr:clientData/>
  </xdr:oneCellAnchor>
  <xdr:oneCellAnchor>
    <xdr:from>
      <xdr:col>19</xdr:col>
      <xdr:colOff>495052</xdr:colOff>
      <xdr:row>8</xdr:row>
      <xdr:rowOff>78181</xdr:rowOff>
    </xdr:from>
    <xdr:ext cx="1698172" cy="446509"/>
    <xdr:sp macro="[0]!SAVEPDF" textlink="">
      <xdr:nvSpPr>
        <xdr:cNvPr id="8" name="ZoneTexte 7">
          <a:extLst>
            <a:ext uri="{FF2B5EF4-FFF2-40B4-BE49-F238E27FC236}">
              <a16:creationId xmlns:a16="http://schemas.microsoft.com/office/drawing/2014/main" id="{00000000-0008-0000-0100-000008000000}"/>
            </a:ext>
          </a:extLst>
        </xdr:cNvPr>
        <xdr:cNvSpPr txBox="1"/>
      </xdr:nvSpPr>
      <xdr:spPr>
        <a:xfrm>
          <a:off x="13120007" y="1602181"/>
          <a:ext cx="1698172" cy="446509"/>
        </a:xfrm>
        <a:prstGeom prst="snip2DiagRect">
          <a:avLst/>
        </a:prstGeom>
        <a:ln/>
      </xdr:spPr>
      <xdr:style>
        <a:lnRef idx="3">
          <a:schemeClr val="lt1"/>
        </a:lnRef>
        <a:fillRef idx="1">
          <a:schemeClr val="accent4"/>
        </a:fillRef>
        <a:effectRef idx="1">
          <a:schemeClr val="accent4"/>
        </a:effectRef>
        <a:fontRef idx="minor">
          <a:schemeClr val="lt1"/>
        </a:fontRef>
      </xdr:style>
      <xdr:txBody>
        <a:bodyPr vertOverflow="clip" horzOverflow="clip" wrap="square" rtlCol="0" anchor="t">
          <a:spAutoFit/>
        </a:bodyPr>
        <a:lstStyle/>
        <a:p>
          <a:r>
            <a:rPr lang="fr-FR" sz="1800" b="0" cap="none" spc="0">
              <a:ln w="0"/>
              <a:solidFill>
                <a:schemeClr val="tx1"/>
              </a:solidFill>
              <a:effectLst>
                <a:outerShdw blurRad="38100" dist="19050" dir="2700000" algn="tl" rotWithShape="0">
                  <a:schemeClr val="dk1">
                    <a:alpha val="40000"/>
                  </a:schemeClr>
                </a:outerShdw>
              </a:effectLst>
            </a:rPr>
            <a:t>SAVE.pdf</a:t>
          </a:r>
        </a:p>
      </xdr:txBody>
    </xdr:sp>
    <xdr:clientData/>
  </xdr:oneCellAnchor>
  <xdr:oneCellAnchor>
    <xdr:from>
      <xdr:col>26</xdr:col>
      <xdr:colOff>437799</xdr:colOff>
      <xdr:row>9</xdr:row>
      <xdr:rowOff>229478</xdr:rowOff>
    </xdr:from>
    <xdr:ext cx="1547922" cy="448573"/>
    <xdr:sp macro="[0]!RESET_PRICE" textlink="">
      <xdr:nvSpPr>
        <xdr:cNvPr id="9" name="ZoneTexte 8">
          <a:extLst>
            <a:ext uri="{FF2B5EF4-FFF2-40B4-BE49-F238E27FC236}">
              <a16:creationId xmlns:a16="http://schemas.microsoft.com/office/drawing/2014/main" id="{00000000-0008-0000-0100-000009000000}"/>
            </a:ext>
          </a:extLst>
        </xdr:cNvPr>
        <xdr:cNvSpPr txBox="1"/>
      </xdr:nvSpPr>
      <xdr:spPr>
        <a:xfrm>
          <a:off x="17114621" y="1860029"/>
          <a:ext cx="1547922" cy="448573"/>
        </a:xfrm>
        <a:prstGeom prst="snip2DiagRect">
          <a:avLst/>
        </a:prstGeom>
        <a:solidFill>
          <a:srgbClr val="FFC00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spAutoFit/>
        </a:bodyPr>
        <a:lstStyle/>
        <a:p>
          <a:r>
            <a:rPr lang="fr-FR" sz="1800" b="0" cap="none" spc="0">
              <a:ln w="0"/>
              <a:solidFill>
                <a:schemeClr val="tx1"/>
              </a:solidFill>
              <a:effectLst>
                <a:outerShdw blurRad="38100" dist="19050" dir="2700000" algn="tl" rotWithShape="0">
                  <a:schemeClr val="dk1">
                    <a:alpha val="40000"/>
                  </a:schemeClr>
                </a:outerShdw>
              </a:effectLst>
            </a:rPr>
            <a:t>RESET PRICES</a:t>
          </a:r>
        </a:p>
      </xdr:txBody>
    </xdr:sp>
    <xdr:clientData/>
  </xdr:oneCellAnchor>
  <xdr:twoCellAnchor>
    <xdr:from>
      <xdr:col>0</xdr:col>
      <xdr:colOff>66674</xdr:colOff>
      <xdr:row>35</xdr:row>
      <xdr:rowOff>108237</xdr:rowOff>
    </xdr:from>
    <xdr:to>
      <xdr:col>6</xdr:col>
      <xdr:colOff>274492</xdr:colOff>
      <xdr:row>53</xdr:row>
      <xdr:rowOff>51954</xdr:rowOff>
    </xdr:to>
    <xdr:graphicFrame macro="">
      <xdr:nvGraphicFramePr>
        <xdr:cNvPr id="10" name="Chart 1">
          <a:extLst>
            <a:ext uri="{FF2B5EF4-FFF2-40B4-BE49-F238E27FC236}">
              <a16:creationId xmlns:a16="http://schemas.microsoft.com/office/drawing/2014/main" id="{00000000-0008-0000-0100-00000A000000}"/>
            </a:ext>
            <a:ext uri="{147F2762-F138-4A5C-976F-8EAC2B608ADB}">
              <a16:predDERef xmlns:a16="http://schemas.microsoft.com/office/drawing/2014/main" pred="{2B77AFBA-41D7-4E1D-BE03-D37AE6EF9C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329045</xdr:colOff>
      <xdr:row>35</xdr:row>
      <xdr:rowOff>103910</xdr:rowOff>
    </xdr:from>
    <xdr:to>
      <xdr:col>14</xdr:col>
      <xdr:colOff>259773</xdr:colOff>
      <xdr:row>53</xdr:row>
      <xdr:rowOff>51953</xdr:rowOff>
    </xdr:to>
    <xdr:graphicFrame macro="">
      <xdr:nvGraphicFramePr>
        <xdr:cNvPr id="11" name="Chart 3">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329047</xdr:colOff>
      <xdr:row>35</xdr:row>
      <xdr:rowOff>103909</xdr:rowOff>
    </xdr:from>
    <xdr:to>
      <xdr:col>22</xdr:col>
      <xdr:colOff>277090</xdr:colOff>
      <xdr:row>53</xdr:row>
      <xdr:rowOff>51956</xdr:rowOff>
    </xdr:to>
    <xdr:graphicFrame macro="">
      <xdr:nvGraphicFramePr>
        <xdr:cNvPr id="12" name="Chart 4">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346363</xdr:colOff>
      <xdr:row>35</xdr:row>
      <xdr:rowOff>103910</xdr:rowOff>
    </xdr:from>
    <xdr:to>
      <xdr:col>30</xdr:col>
      <xdr:colOff>502227</xdr:colOff>
      <xdr:row>53</xdr:row>
      <xdr:rowOff>34638</xdr:rowOff>
    </xdr:to>
    <xdr:graphicFrame macro="">
      <xdr:nvGraphicFramePr>
        <xdr:cNvPr id="13" name="Chart 5">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51955</xdr:colOff>
      <xdr:row>2</xdr:row>
      <xdr:rowOff>103911</xdr:rowOff>
    </xdr:from>
    <xdr:to>
      <xdr:col>30</xdr:col>
      <xdr:colOff>398319</xdr:colOff>
      <xdr:row>4</xdr:row>
      <xdr:rowOff>133351</xdr:rowOff>
    </xdr:to>
    <xdr:sp macro="" textlink="">
      <xdr:nvSpPr>
        <xdr:cNvPr id="6" name="Rectangle : coins arrondis 5">
          <a:hlinkClick xmlns:r="http://schemas.openxmlformats.org/officeDocument/2006/relationships" r:id="rId5"/>
          <a:extLst>
            <a:ext uri="{FF2B5EF4-FFF2-40B4-BE49-F238E27FC236}">
              <a16:creationId xmlns:a16="http://schemas.microsoft.com/office/drawing/2014/main" id="{00000000-0008-0000-0100-000006000000}"/>
            </a:ext>
          </a:extLst>
        </xdr:cNvPr>
        <xdr:cNvSpPr/>
      </xdr:nvSpPr>
      <xdr:spPr>
        <a:xfrm>
          <a:off x="15187180" y="370611"/>
          <a:ext cx="4337339" cy="42949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fr-FR" sz="1400" b="1" cap="none" spc="0">
              <a:ln w="0"/>
              <a:solidFill>
                <a:schemeClr val="tx1"/>
              </a:solidFill>
              <a:effectLst>
                <a:outerShdw blurRad="38100" dist="19050" dir="2700000" algn="tl" rotWithShape="0">
                  <a:schemeClr val="dk1">
                    <a:alpha val="40000"/>
                  </a:schemeClr>
                </a:outerShdw>
              </a:effectLst>
            </a:rPr>
            <a:t>How to install the solver for the optimization tool?</a:t>
          </a:r>
        </a:p>
      </xdr:txBody>
    </xdr:sp>
    <xdr:clientData/>
  </xdr:twoCellAnchor>
  <xdr:twoCellAnchor>
    <xdr:from>
      <xdr:col>16</xdr:col>
      <xdr:colOff>190499</xdr:colOff>
      <xdr:row>53</xdr:row>
      <xdr:rowOff>103909</xdr:rowOff>
    </xdr:from>
    <xdr:to>
      <xdr:col>20</xdr:col>
      <xdr:colOff>415637</xdr:colOff>
      <xdr:row>57</xdr:row>
      <xdr:rowOff>69273</xdr:rowOff>
    </xdr:to>
    <xdr:sp macro="" textlink="">
      <xdr:nvSpPr>
        <xdr:cNvPr id="7" name="Rectangle : coins arrondis 6">
          <a:hlinkClick xmlns:r="http://schemas.openxmlformats.org/officeDocument/2006/relationships" r:id="rId6"/>
          <a:extLst>
            <a:ext uri="{FF2B5EF4-FFF2-40B4-BE49-F238E27FC236}">
              <a16:creationId xmlns:a16="http://schemas.microsoft.com/office/drawing/2014/main" id="{00000000-0008-0000-0100-000007000000}"/>
            </a:ext>
          </a:extLst>
        </xdr:cNvPr>
        <xdr:cNvSpPr/>
      </xdr:nvSpPr>
      <xdr:spPr>
        <a:xfrm>
          <a:off x="10806544" y="11049000"/>
          <a:ext cx="2874820" cy="727364"/>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fr-FR" sz="1400" b="1" cap="none" spc="0">
              <a:ln w="0"/>
              <a:solidFill>
                <a:schemeClr val="tx1"/>
              </a:solidFill>
              <a:effectLst>
                <a:outerShdw blurRad="38100" dist="19050" dir="2700000" algn="tl" rotWithShape="0">
                  <a:schemeClr val="dk1">
                    <a:alpha val="40000"/>
                  </a:schemeClr>
                </a:outerShdw>
              </a:effectLst>
            </a:rPr>
            <a:t>Where to find Lysine?</a:t>
          </a:r>
        </a:p>
      </xdr:txBody>
    </xdr:sp>
    <xdr:clientData/>
  </xdr:twoCellAnchor>
  <xdr:twoCellAnchor>
    <xdr:from>
      <xdr:col>24</xdr:col>
      <xdr:colOff>394854</xdr:colOff>
      <xdr:row>53</xdr:row>
      <xdr:rowOff>100445</xdr:rowOff>
    </xdr:from>
    <xdr:to>
      <xdr:col>29</xdr:col>
      <xdr:colOff>398318</xdr:colOff>
      <xdr:row>57</xdr:row>
      <xdr:rowOff>34637</xdr:rowOff>
    </xdr:to>
    <xdr:sp macro="" textlink="">
      <xdr:nvSpPr>
        <xdr:cNvPr id="14" name="Rectangle : coins arrondis 13">
          <a:hlinkClick xmlns:r="http://schemas.openxmlformats.org/officeDocument/2006/relationships" r:id="rId7"/>
          <a:extLst>
            <a:ext uri="{FF2B5EF4-FFF2-40B4-BE49-F238E27FC236}">
              <a16:creationId xmlns:a16="http://schemas.microsoft.com/office/drawing/2014/main" id="{00000000-0008-0000-0100-00000E000000}"/>
            </a:ext>
          </a:extLst>
        </xdr:cNvPr>
        <xdr:cNvSpPr/>
      </xdr:nvSpPr>
      <xdr:spPr>
        <a:xfrm>
          <a:off x="15548263" y="11045536"/>
          <a:ext cx="3138055" cy="696192"/>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fr-FR" sz="1400" b="1" cap="none" spc="0">
              <a:ln w="0"/>
              <a:solidFill>
                <a:schemeClr val="tx1"/>
              </a:solidFill>
              <a:effectLst>
                <a:outerShdw blurRad="38100" dist="19050" dir="2700000" algn="tl" rotWithShape="0">
                  <a:schemeClr val="dk1">
                    <a:alpha val="40000"/>
                  </a:schemeClr>
                </a:outerShdw>
              </a:effectLst>
            </a:rPr>
            <a:t>Where to find Methionine?</a:t>
          </a:r>
        </a:p>
      </xdr:txBody>
    </xdr:sp>
    <xdr:clientData/>
  </xdr:twoCellAnchor>
  <xdr:twoCellAnchor editAs="oneCell">
    <xdr:from>
      <xdr:col>29</xdr:col>
      <xdr:colOff>168565</xdr:colOff>
      <xdr:row>4</xdr:row>
      <xdr:rowOff>89187</xdr:rowOff>
    </xdr:from>
    <xdr:to>
      <xdr:col>30</xdr:col>
      <xdr:colOff>11394</xdr:colOff>
      <xdr:row>7</xdr:row>
      <xdr:rowOff>173406</xdr:rowOff>
    </xdr:to>
    <xdr:pic>
      <xdr:nvPicPr>
        <xdr:cNvPr id="15" name="Image 14" descr="depositphotos_40334707-stock-illustration-vector-help-sign - GKH LAW">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8595110" y="781914"/>
          <a:ext cx="711914" cy="707674"/>
        </a:xfrm>
        <a:prstGeom prst="rect">
          <a:avLst/>
        </a:prstGeom>
        <a:noFill/>
        <a:ln>
          <a:solidFill>
            <a:schemeClr val="accent6"/>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408421</xdr:colOff>
      <xdr:row>53</xdr:row>
      <xdr:rowOff>100445</xdr:rowOff>
    </xdr:from>
    <xdr:to>
      <xdr:col>29</xdr:col>
      <xdr:colOff>323699</xdr:colOff>
      <xdr:row>57</xdr:row>
      <xdr:rowOff>46470</xdr:rowOff>
    </xdr:to>
    <xdr:pic>
      <xdr:nvPicPr>
        <xdr:cNvPr id="16" name="Image 15" descr="depositphotos_40334707-stock-illustration-vector-help-sign - GKH LAW">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7899785" y="11045536"/>
          <a:ext cx="708601" cy="704850"/>
        </a:xfrm>
        <a:prstGeom prst="rect">
          <a:avLst/>
        </a:prstGeom>
        <a:noFill/>
        <a:ln>
          <a:solidFill>
            <a:schemeClr val="accent6"/>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214457</xdr:colOff>
      <xdr:row>53</xdr:row>
      <xdr:rowOff>114299</xdr:rowOff>
    </xdr:from>
    <xdr:to>
      <xdr:col>20</xdr:col>
      <xdr:colOff>277454</xdr:colOff>
      <xdr:row>57</xdr:row>
      <xdr:rowOff>57149</xdr:rowOff>
    </xdr:to>
    <xdr:pic>
      <xdr:nvPicPr>
        <xdr:cNvPr id="17" name="Image 16" descr="depositphotos_40334707-stock-illustration-vector-help-sign - GKH LAW">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839412" y="11059390"/>
          <a:ext cx="708601" cy="704850"/>
        </a:xfrm>
        <a:prstGeom prst="rect">
          <a:avLst/>
        </a:prstGeom>
        <a:noFill/>
        <a:ln>
          <a:solidFill>
            <a:schemeClr val="accent6"/>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333375</xdr:colOff>
      <xdr:row>13</xdr:row>
      <xdr:rowOff>9525</xdr:rowOff>
    </xdr:from>
    <xdr:to>
      <xdr:col>5</xdr:col>
      <xdr:colOff>333376</xdr:colOff>
      <xdr:row>35</xdr:row>
      <xdr:rowOff>19050</xdr:rowOff>
    </xdr:to>
    <xdr:cxnSp macro="">
      <xdr:nvCxnSpPr>
        <xdr:cNvPr id="3" name="Connecteur droit avec flèche 2">
          <a:extLst>
            <a:ext uri="{FF2B5EF4-FFF2-40B4-BE49-F238E27FC236}">
              <a16:creationId xmlns:a16="http://schemas.microsoft.com/office/drawing/2014/main" id="{00000000-0008-0000-0400-000003000000}"/>
            </a:ext>
          </a:extLst>
        </xdr:cNvPr>
        <xdr:cNvCxnSpPr/>
      </xdr:nvCxnSpPr>
      <xdr:spPr>
        <a:xfrm>
          <a:off x="5229225" y="2276475"/>
          <a:ext cx="1" cy="3333750"/>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4</xdr:col>
      <xdr:colOff>419100</xdr:colOff>
      <xdr:row>31</xdr:row>
      <xdr:rowOff>57150</xdr:rowOff>
    </xdr:from>
    <xdr:to>
      <xdr:col>5</xdr:col>
      <xdr:colOff>333376</xdr:colOff>
      <xdr:row>35</xdr:row>
      <xdr:rowOff>0</xdr:rowOff>
    </xdr:to>
    <xdr:cxnSp macro="">
      <xdr:nvCxnSpPr>
        <xdr:cNvPr id="5" name="Connecteur droit avec flèche 4">
          <a:extLst>
            <a:ext uri="{FF2B5EF4-FFF2-40B4-BE49-F238E27FC236}">
              <a16:creationId xmlns:a16="http://schemas.microsoft.com/office/drawing/2014/main" id="{00000000-0008-0000-0400-000005000000}"/>
            </a:ext>
          </a:extLst>
        </xdr:cNvPr>
        <xdr:cNvCxnSpPr/>
      </xdr:nvCxnSpPr>
      <xdr:spPr>
        <a:xfrm flipH="1">
          <a:off x="4552950" y="5153025"/>
          <a:ext cx="676276" cy="438150"/>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171450</xdr:colOff>
      <xdr:row>39</xdr:row>
      <xdr:rowOff>47625</xdr:rowOff>
    </xdr:to>
    <xdr:sp macro="" textlink="">
      <xdr:nvSpPr>
        <xdr:cNvPr id="2" name="Rectangle 1">
          <a:extLst>
            <a:ext uri="{FF2B5EF4-FFF2-40B4-BE49-F238E27FC236}">
              <a16:creationId xmlns:a16="http://schemas.microsoft.com/office/drawing/2014/main" id="{00000000-0008-0000-0000-000004000000}"/>
            </a:ext>
          </a:extLst>
        </xdr:cNvPr>
        <xdr:cNvSpPr/>
      </xdr:nvSpPr>
      <xdr:spPr>
        <a:xfrm>
          <a:off x="0" y="0"/>
          <a:ext cx="10048875" cy="747712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9525</xdr:rowOff>
    </xdr:from>
    <xdr:to>
      <xdr:col>17</xdr:col>
      <xdr:colOff>200024</xdr:colOff>
      <xdr:row>5</xdr:row>
      <xdr:rowOff>114300</xdr:rowOff>
    </xdr:to>
    <xdr:sp macro="" textlink="">
      <xdr:nvSpPr>
        <xdr:cNvPr id="3" name="Rectangle 2">
          <a:extLst>
            <a:ext uri="{FF2B5EF4-FFF2-40B4-BE49-F238E27FC236}">
              <a16:creationId xmlns:a16="http://schemas.microsoft.com/office/drawing/2014/main" id="{00000000-0008-0000-0000-000005000000}"/>
            </a:ext>
          </a:extLst>
        </xdr:cNvPr>
        <xdr:cNvSpPr>
          <a:spLocks/>
        </xdr:cNvSpPr>
      </xdr:nvSpPr>
      <xdr:spPr>
        <a:xfrm>
          <a:off x="0" y="9525"/>
          <a:ext cx="10077449" cy="1057275"/>
        </a:xfrm>
        <a:prstGeom prst="rect">
          <a:avLst/>
        </a:prstGeom>
        <a:solidFill>
          <a:srgbClr val="92D050"/>
        </a:solidFill>
        <a:ln w="12700" cap="flat" cmpd="sng" algn="ctr">
          <a:noFill/>
          <a:prstDash val="solid"/>
          <a:miter lim="800000"/>
        </a:ln>
        <a:effectLst/>
      </xdr:spPr>
      <xdr:txBody>
        <a:bodyPr rot="0" spcFirstLastPara="0" vert="horz" wrap="square" lIns="216000" tIns="216000" rIns="216000" bIns="216000" numCol="1" spcCol="0" rtlCol="0" fromWordArt="0" anchor="t" anchorCtr="0" forceAA="0" compatLnSpc="1">
          <a:prstTxWarp prst="textNoShape">
            <a:avLst/>
          </a:prstTxWarp>
          <a:noAutofit/>
        </a:bodyPr>
        <a:lstStyle/>
        <a:p>
          <a:pPr algn="ctr">
            <a:lnSpc>
              <a:spcPct val="115000"/>
            </a:lnSpc>
            <a:spcAft>
              <a:spcPts val="200"/>
            </a:spcAft>
          </a:pPr>
          <a:r>
            <a:rPr lang="fr-FR" sz="1600" b="1">
              <a:solidFill>
                <a:sysClr val="windowText" lastClr="000000"/>
              </a:solidFill>
              <a:effectLst/>
              <a:latin typeface="+mn-lt"/>
              <a:ea typeface="Calibri" panose="020F0502020204030204" pitchFamily="34" charset="0"/>
              <a:cs typeface="Times New Roman" panose="02020603050405020304" pitchFamily="18" charset="0"/>
            </a:rPr>
            <a:t>Ration</a:t>
          </a:r>
          <a:r>
            <a:rPr lang="fr-FR" sz="1600" b="1" baseline="0">
              <a:solidFill>
                <a:sysClr val="windowText" lastClr="000000"/>
              </a:solidFill>
              <a:effectLst/>
              <a:latin typeface="+mn-lt"/>
              <a:ea typeface="Calibri" panose="020F0502020204030204" pitchFamily="34" charset="0"/>
              <a:cs typeface="Times New Roman" panose="02020603050405020304" pitchFamily="18" charset="0"/>
            </a:rPr>
            <a:t> Planning Tool: Poultry </a:t>
          </a:r>
        </a:p>
        <a:p>
          <a:pPr algn="ctr">
            <a:lnSpc>
              <a:spcPct val="115000"/>
            </a:lnSpc>
            <a:spcAft>
              <a:spcPts val="200"/>
            </a:spcAft>
          </a:pPr>
          <a:r>
            <a:rPr lang="fr-FR" sz="1600" b="1" baseline="0">
              <a:solidFill>
                <a:sysClr val="windowText" lastClr="000000"/>
              </a:solidFill>
              <a:effectLst/>
              <a:latin typeface="+mn-lt"/>
              <a:ea typeface="Calibri" panose="020F0502020204030204" pitchFamily="34" charset="0"/>
              <a:cs typeface="Times New Roman" panose="02020603050405020304" pitchFamily="18" charset="0"/>
            </a:rPr>
            <a:t>About and abbreviations</a:t>
          </a:r>
          <a:endParaRPr lang="fr-FR" sz="1600" b="1">
            <a:solidFill>
              <a:sysClr val="windowText" lastClr="000000"/>
            </a:solidFill>
            <a:effectLst/>
            <a:latin typeface="+mn-lt"/>
            <a:ea typeface="Calibri" panose="020F0502020204030204" pitchFamily="34" charset="0"/>
            <a:cs typeface="Times New Roman" panose="02020603050405020304" pitchFamily="18" charset="0"/>
          </a:endParaRPr>
        </a:p>
      </xdr:txBody>
    </xdr:sp>
    <xdr:clientData/>
  </xdr:twoCellAnchor>
  <xdr:twoCellAnchor>
    <xdr:from>
      <xdr:col>0</xdr:col>
      <xdr:colOff>152400</xdr:colOff>
      <xdr:row>11</xdr:row>
      <xdr:rowOff>1</xdr:rowOff>
    </xdr:from>
    <xdr:to>
      <xdr:col>8</xdr:col>
      <xdr:colOff>409575</xdr:colOff>
      <xdr:row>27</xdr:row>
      <xdr:rowOff>180975</xdr:rowOff>
    </xdr:to>
    <xdr:sp macro="" textlink="">
      <xdr:nvSpPr>
        <xdr:cNvPr id="4" name="TextBox 3">
          <a:extLst>
            <a:ext uri="{FF2B5EF4-FFF2-40B4-BE49-F238E27FC236}">
              <a16:creationId xmlns:a16="http://schemas.microsoft.com/office/drawing/2014/main" id="{00000000-0008-0000-0000-000006000000}"/>
            </a:ext>
          </a:extLst>
        </xdr:cNvPr>
        <xdr:cNvSpPr txBox="1"/>
      </xdr:nvSpPr>
      <xdr:spPr>
        <a:xfrm>
          <a:off x="152400" y="2095501"/>
          <a:ext cx="4905375" cy="3228974"/>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i="0" u="sng"/>
            <a:t>The tool contains 5</a:t>
          </a:r>
          <a:r>
            <a:rPr lang="en-GB" sz="1400" b="0" i="0" u="sng" baseline="0"/>
            <a:t> calculation sheets, here an explanation of each function:</a:t>
          </a:r>
        </a:p>
        <a:p>
          <a:endParaRPr lang="en-GB" sz="1400" b="0" i="0" baseline="0"/>
        </a:p>
        <a:p>
          <a:r>
            <a:rPr lang="en-GB" sz="1400" b="0" i="0" baseline="0"/>
            <a:t>'Tool': Calculation sheet for ration planning</a:t>
          </a:r>
        </a:p>
        <a:p>
          <a:endParaRPr lang="en-GB" sz="1400" b="0" i="0" baseline="0"/>
        </a:p>
        <a:p>
          <a:r>
            <a:rPr lang="en-GB" sz="1400" b="0" i="0" baseline="0"/>
            <a:t>'Database_Feedstuffs': Ingredients of the feed components, data collection of feed components</a:t>
          </a:r>
        </a:p>
        <a:p>
          <a:endParaRPr lang="en-GB" sz="1400" b="0" i="0" baseline="0"/>
        </a:p>
        <a:p>
          <a:r>
            <a:rPr lang="en-GB" sz="1400" b="0" i="0" baseline="0"/>
            <a:t>'Poultry_Needs': Poultry requirements with different scenarios</a:t>
          </a:r>
        </a:p>
        <a:p>
          <a:endParaRPr lang="en-GB" sz="1400" b="0" i="0" baseline="0"/>
        </a:p>
        <a:p>
          <a:r>
            <a:rPr lang="en-GB" sz="1400" b="0" i="0" baseline="0"/>
            <a:t>'PDF_Export': Print out of the results</a:t>
          </a:r>
        </a:p>
        <a:p>
          <a:endParaRPr lang="en-GB" sz="1400" b="0" i="0" baseline="0"/>
        </a:p>
        <a:p>
          <a:r>
            <a:rPr lang="en-GB" sz="1400" b="0" i="0" baseline="0"/>
            <a:t>'Contribution': Comparison of the ingredients regarding their importance for the feeding poultry</a:t>
          </a:r>
        </a:p>
        <a:p>
          <a:endParaRPr lang="en-GB" sz="1100" b="1" baseline="0"/>
        </a:p>
      </xdr:txBody>
    </xdr:sp>
    <xdr:clientData/>
  </xdr:twoCellAnchor>
  <xdr:twoCellAnchor>
    <xdr:from>
      <xdr:col>0</xdr:col>
      <xdr:colOff>142876</xdr:colOff>
      <xdr:row>28</xdr:row>
      <xdr:rowOff>123825</xdr:rowOff>
    </xdr:from>
    <xdr:to>
      <xdr:col>8</xdr:col>
      <xdr:colOff>400050</xdr:colOff>
      <xdr:row>37</xdr:row>
      <xdr:rowOff>0</xdr:rowOff>
    </xdr:to>
    <xdr:sp macro="" textlink="">
      <xdr:nvSpPr>
        <xdr:cNvPr id="5" name="TextBox 4">
          <a:extLst>
            <a:ext uri="{FF2B5EF4-FFF2-40B4-BE49-F238E27FC236}">
              <a16:creationId xmlns:a16="http://schemas.microsoft.com/office/drawing/2014/main" id="{00000000-0008-0000-0000-000007000000}"/>
            </a:ext>
          </a:extLst>
        </xdr:cNvPr>
        <xdr:cNvSpPr txBox="1"/>
      </xdr:nvSpPr>
      <xdr:spPr>
        <a:xfrm>
          <a:off x="142876" y="5457825"/>
          <a:ext cx="4905374" cy="15906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aseline="0">
              <a:solidFill>
                <a:schemeClr val="dk1"/>
              </a:solidFill>
              <a:effectLst/>
              <a:latin typeface="+mn-lt"/>
              <a:ea typeface="+mn-ea"/>
              <a:cs typeface="+mn-cs"/>
            </a:rPr>
            <a:t>There is a handbook which accompanies this tool. The handbook aims to guide the user through the calculation tool for successful use and implementation.</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t>Here</a:t>
          </a:r>
          <a:r>
            <a:rPr lang="en-GB" sz="1400" baseline="0"/>
            <a:t> is the permalink to the manual aimed at both the  poultry and swine calculation tool: </a:t>
          </a:r>
          <a:r>
            <a:rPr lang="en-GB" sz="1400" u="sng">
              <a:solidFill>
                <a:schemeClr val="dk1"/>
              </a:solidFill>
              <a:effectLst/>
              <a:latin typeface="+mn-lt"/>
              <a:ea typeface="+mn-ea"/>
              <a:cs typeface="+mn-cs"/>
              <a:hlinkClick xmlns:r="http://schemas.openxmlformats.org/officeDocument/2006/relationships" r:id=""/>
            </a:rPr>
            <a:t>https://orgprints.org/38690</a:t>
          </a:r>
          <a:r>
            <a:rPr lang="en-GB" sz="1400">
              <a:solidFill>
                <a:schemeClr val="dk1"/>
              </a:solidFill>
              <a:effectLst/>
              <a:latin typeface="+mn-lt"/>
              <a:ea typeface="+mn-ea"/>
              <a:cs typeface="+mn-cs"/>
            </a:rPr>
            <a:t> </a:t>
          </a:r>
        </a:p>
        <a:p>
          <a:endParaRPr lang="en-GB" sz="1400"/>
        </a:p>
      </xdr:txBody>
    </xdr:sp>
    <xdr:clientData/>
  </xdr:twoCellAnchor>
  <xdr:twoCellAnchor>
    <xdr:from>
      <xdr:col>0</xdr:col>
      <xdr:colOff>142876</xdr:colOff>
      <xdr:row>6</xdr:row>
      <xdr:rowOff>47626</xdr:rowOff>
    </xdr:from>
    <xdr:to>
      <xdr:col>17</xdr:col>
      <xdr:colOff>1</xdr:colOff>
      <xdr:row>10</xdr:row>
      <xdr:rowOff>47625</xdr:rowOff>
    </xdr:to>
    <xdr:sp macro="" textlink="">
      <xdr:nvSpPr>
        <xdr:cNvPr id="6" name="TextBox 5">
          <a:extLst>
            <a:ext uri="{FF2B5EF4-FFF2-40B4-BE49-F238E27FC236}">
              <a16:creationId xmlns:a16="http://schemas.microsoft.com/office/drawing/2014/main" id="{00000000-0008-0000-0000-000008000000}"/>
            </a:ext>
          </a:extLst>
        </xdr:cNvPr>
        <xdr:cNvSpPr txBox="1"/>
      </xdr:nvSpPr>
      <xdr:spPr>
        <a:xfrm>
          <a:off x="142876" y="1190626"/>
          <a:ext cx="9734550" cy="761999"/>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dk1"/>
              </a:solidFill>
              <a:effectLst/>
              <a:latin typeface="+mn-lt"/>
              <a:ea typeface="+mn-ea"/>
              <a:cs typeface="+mn-cs"/>
            </a:rPr>
            <a:t>The tool was created from Organic Food and Farming Institute ITAB and Fibl within the framework of OK-Net Ecofeed project. The objective is to reduce the cost of feed production and satisfying consumer expectation for traceability of production. There is also a similar calculation tool for swine.</a:t>
          </a:r>
        </a:p>
      </xdr:txBody>
    </xdr:sp>
    <xdr:clientData/>
  </xdr:twoCellAnchor>
  <xdr:twoCellAnchor>
    <xdr:from>
      <xdr:col>8</xdr:col>
      <xdr:colOff>542925</xdr:colOff>
      <xdr:row>10</xdr:row>
      <xdr:rowOff>161925</xdr:rowOff>
    </xdr:from>
    <xdr:to>
      <xdr:col>17</xdr:col>
      <xdr:colOff>19049</xdr:colOff>
      <xdr:row>38</xdr:row>
      <xdr:rowOff>133350</xdr:rowOff>
    </xdr:to>
    <xdr:sp macro="" textlink="">
      <xdr:nvSpPr>
        <xdr:cNvPr id="7" name="TextBox 6">
          <a:extLst>
            <a:ext uri="{FF2B5EF4-FFF2-40B4-BE49-F238E27FC236}">
              <a16:creationId xmlns:a16="http://schemas.microsoft.com/office/drawing/2014/main" id="{00000000-0008-0000-0000-000009000000}"/>
            </a:ext>
            <a:ext uri="{147F2762-F138-4A5C-976F-8EAC2B608ADB}">
              <a16:predDERef xmlns:a16="http://schemas.microsoft.com/office/drawing/2014/main" pred="{00000000-0008-0000-0000-000008000000}"/>
            </a:ext>
          </a:extLst>
        </xdr:cNvPr>
        <xdr:cNvSpPr txBox="1"/>
      </xdr:nvSpPr>
      <xdr:spPr>
        <a:xfrm>
          <a:off x="5191125" y="2066925"/>
          <a:ext cx="4705349" cy="530542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i="0" u="sng"/>
            <a:t>Abbreviations contained within the tool, explained: </a:t>
          </a:r>
        </a:p>
        <a:p>
          <a:endParaRPr lang="en-GB" sz="300" b="0" i="0" u="none"/>
        </a:p>
        <a:p>
          <a:r>
            <a:rPr lang="en-GB" sz="1200" b="0" i="0" u="none"/>
            <a:t>Ash: Ashes</a:t>
          </a:r>
        </a:p>
        <a:p>
          <a:r>
            <a:rPr lang="en-GB" sz="1200" b="0" i="0" u="none"/>
            <a:t>Avail.: Available</a:t>
          </a:r>
        </a:p>
        <a:p>
          <a:r>
            <a:rPr lang="en-GB" sz="1200" b="0" i="0" u="none"/>
            <a:t>Ca/Cal: Calcium</a:t>
          </a:r>
        </a:p>
        <a:p>
          <a:r>
            <a:rPr lang="en-GB" sz="1200" b="0" i="0" u="none"/>
            <a:t>C: Carbon</a:t>
          </a:r>
        </a:p>
        <a:p>
          <a:r>
            <a:rPr lang="en-GB" sz="1200" b="0" i="0" u="none"/>
            <a:t>CP: Crude protein</a:t>
          </a:r>
        </a:p>
        <a:p>
          <a:r>
            <a:rPr lang="en-GB" sz="1200" b="0" i="0" u="none"/>
            <a:t>CYS: Cysteine </a:t>
          </a:r>
        </a:p>
        <a:p>
          <a:r>
            <a:rPr lang="en-GB" sz="1200" b="0" i="0" u="none"/>
            <a:t>DIS: Digestible ileal standardized, poultry. This digestibility was measured at ileal level and corrected for endogenous losses of nitrogen.</a:t>
          </a:r>
        </a:p>
        <a:p>
          <a:r>
            <a:rPr lang="en-GB" sz="1200" b="0" i="0" u="none"/>
            <a:t>DM: Dry matter </a:t>
          </a:r>
        </a:p>
        <a:p>
          <a:r>
            <a:rPr lang="en-GB" sz="1200" b="0" i="0" u="none"/>
            <a:t>EMAn: Apparent metabolizable energy, nitrogen-corrected</a:t>
          </a:r>
        </a:p>
        <a:p>
          <a:r>
            <a:rPr lang="en-GB" sz="1200" b="0" i="0" u="none"/>
            <a:t>K: Potassium</a:t>
          </a:r>
        </a:p>
        <a:p>
          <a:r>
            <a:rPr lang="en-GB" sz="1200" b="0" i="0" u="none"/>
            <a:t>Kcal: Kilo calories</a:t>
          </a:r>
        </a:p>
        <a:p>
          <a:r>
            <a:rPr lang="en-GB" sz="1200" b="0" i="0" u="none"/>
            <a:t>kg: kilogram</a:t>
          </a:r>
        </a:p>
        <a:p>
          <a:r>
            <a:rPr lang="en-GB" sz="1200" b="0" i="0" u="none"/>
            <a:t>LYS: Lysin</a:t>
          </a:r>
        </a:p>
        <a:p>
          <a:r>
            <a:rPr lang="en-GB" sz="1200" b="0" i="0" u="none"/>
            <a:t>Max.: Maximum</a:t>
          </a:r>
        </a:p>
        <a:p>
          <a:r>
            <a:rPr lang="en-GB" sz="1200" b="0" i="0" u="none"/>
            <a:t>ME: Metabolized energy</a:t>
          </a:r>
        </a:p>
        <a:p>
          <a:r>
            <a:rPr lang="en-GB" sz="1200" b="0" i="0" u="none"/>
            <a:t>MET: Methionine </a:t>
          </a:r>
        </a:p>
        <a:p>
          <a:r>
            <a:rPr lang="en-GB" sz="1200" b="0" i="0" u="none"/>
            <a:t>Min.: Minimum</a:t>
          </a:r>
        </a:p>
        <a:p>
          <a:r>
            <a:rPr lang="en-GB" sz="1200" b="0" i="0" u="none"/>
            <a:t>Mg: Magnesium</a:t>
          </a:r>
        </a:p>
        <a:p>
          <a:r>
            <a:rPr lang="en-GB" sz="1200" b="0" i="0" u="none"/>
            <a:t>MJ: Mega joule</a:t>
          </a:r>
        </a:p>
        <a:p>
          <a:r>
            <a:rPr lang="en-GB" sz="1200" b="0" i="0" u="none"/>
            <a:t>Na: Sodium </a:t>
          </a:r>
        </a:p>
        <a:p>
          <a:r>
            <a:rPr lang="en-GB" sz="1200" b="0" i="0" u="none"/>
            <a:t>P: Phosphorus</a:t>
          </a:r>
        </a:p>
        <a:p>
          <a:r>
            <a:rPr lang="en-GB" sz="1200" b="0" i="0" u="none"/>
            <a:t>THR: Threonine</a:t>
          </a:r>
        </a:p>
        <a:p>
          <a:r>
            <a:rPr lang="en-GB" sz="1200" b="0" i="0" u="none"/>
            <a:t>TRP: Tryptophan</a:t>
          </a:r>
        </a:p>
        <a:p>
          <a:r>
            <a:rPr lang="en-GB" sz="1200" b="0" i="0" u="none"/>
            <a:t>TRY: Tyrosine</a:t>
          </a:r>
        </a:p>
        <a:p>
          <a:r>
            <a:rPr lang="en-GB" sz="1200" b="0" i="0" u="none"/>
            <a:t>Tot: Total</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28575</xdr:rowOff>
    </xdr:from>
    <xdr:to>
      <xdr:col>13</xdr:col>
      <xdr:colOff>9525</xdr:colOff>
      <xdr:row>23</xdr:row>
      <xdr:rowOff>152400</xdr:rowOff>
    </xdr:to>
    <xdr:sp macro="" textlink="">
      <xdr:nvSpPr>
        <xdr:cNvPr id="2" name="Rectangle 1">
          <a:extLst>
            <a:ext uri="{FF2B5EF4-FFF2-40B4-BE49-F238E27FC236}">
              <a16:creationId xmlns:a16="http://schemas.microsoft.com/office/drawing/2014/main" id="{00000000-0008-0000-0900-000002000000}"/>
            </a:ext>
          </a:extLst>
        </xdr:cNvPr>
        <xdr:cNvSpPr/>
      </xdr:nvSpPr>
      <xdr:spPr>
        <a:xfrm>
          <a:off x="0" y="28575"/>
          <a:ext cx="7562850" cy="45053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ysClr val="windowText" lastClr="000000"/>
            </a:solidFill>
          </a:endParaRPr>
        </a:p>
        <a:p>
          <a:pPr algn="l"/>
          <a:endParaRPr lang="en-GB" sz="1100">
            <a:solidFill>
              <a:sysClr val="windowText" lastClr="000000"/>
            </a:solidFill>
          </a:endParaRPr>
        </a:p>
        <a:p>
          <a:pPr algn="l"/>
          <a:endParaRPr lang="en-GB" sz="1100">
            <a:solidFill>
              <a:sysClr val="windowText" lastClr="000000"/>
            </a:solidFill>
          </a:endParaRPr>
        </a:p>
        <a:p>
          <a:pPr algn="l"/>
          <a:endParaRPr lang="en-GB" sz="1100">
            <a:solidFill>
              <a:sysClr val="windowText" lastClr="000000"/>
            </a:solidFill>
          </a:endParaRPr>
        </a:p>
        <a:p>
          <a:pPr algn="l"/>
          <a:endParaRPr lang="en-GB" sz="1100">
            <a:solidFill>
              <a:sysClr val="windowText" lastClr="000000"/>
            </a:solidFill>
          </a:endParaRPr>
        </a:p>
        <a:p>
          <a:pPr algn="l"/>
          <a:endParaRPr lang="en-GB" sz="1100">
            <a:solidFill>
              <a:sysClr val="windowText" lastClr="000000"/>
            </a:solidFill>
          </a:endParaRPr>
        </a:p>
        <a:p>
          <a:pPr algn="l"/>
          <a:endParaRPr lang="en-GB"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effectLst/>
              <a:latin typeface="+mn-lt"/>
              <a:ea typeface="+mn-ea"/>
              <a:cs typeface="+mn-cs"/>
            </a:rPr>
            <a:t>Roinsard,</a:t>
          </a:r>
          <a:r>
            <a:rPr lang="en-US" sz="1100">
              <a:solidFill>
                <a:sysClr val="windowText" lastClr="000000"/>
              </a:solidFill>
              <a:effectLst/>
              <a:latin typeface="+mn-lt"/>
              <a:ea typeface="+mn-ea"/>
              <a:cs typeface="+mn-cs"/>
            </a:rPr>
            <a:t> A., </a:t>
          </a:r>
          <a:r>
            <a:rPr lang="fr-FR" sz="1100">
              <a:solidFill>
                <a:sysClr val="windowText" lastClr="000000"/>
              </a:solidFill>
              <a:effectLst/>
              <a:latin typeface="+mn-lt"/>
              <a:ea typeface="+mn-ea"/>
              <a:cs typeface="+mn-cs"/>
            </a:rPr>
            <a:t>Heuze, </a:t>
          </a:r>
          <a:r>
            <a:rPr lang="en-US" sz="1100">
              <a:solidFill>
                <a:sysClr val="windowText" lastClr="000000"/>
              </a:solidFill>
              <a:effectLst/>
              <a:latin typeface="+mn-lt"/>
              <a:ea typeface="+mn-ea"/>
              <a:cs typeface="+mn-cs"/>
            </a:rPr>
            <a:t>V., </a:t>
          </a:r>
          <a:r>
            <a:rPr lang="fr-FR" sz="1100">
              <a:solidFill>
                <a:sysClr val="windowText" lastClr="000000"/>
              </a:solidFill>
              <a:effectLst/>
              <a:latin typeface="+mn-lt"/>
              <a:ea typeface="+mn-ea"/>
              <a:cs typeface="+mn-cs"/>
            </a:rPr>
            <a:t>H. Juin, D. Renaudeau, D. </a:t>
          </a:r>
          <a:r>
            <a:rPr lang="en-US" sz="1100">
              <a:solidFill>
                <a:sysClr val="windowText" lastClr="000000"/>
              </a:solidFill>
              <a:effectLst/>
              <a:latin typeface="+mn-lt"/>
              <a:ea typeface="+mn-ea"/>
              <a:cs typeface="+mn-cs"/>
            </a:rPr>
            <a:t>(2018). </a:t>
          </a:r>
          <a:r>
            <a:rPr lang="fr-FR" sz="1100">
              <a:solidFill>
                <a:sysClr val="windowText" lastClr="000000"/>
              </a:solidFill>
              <a:effectLst/>
              <a:latin typeface="+mn-lt"/>
              <a:ea typeface="+mn-ea"/>
              <a:cs typeface="+mn-cs"/>
            </a:rPr>
            <a:t>Chemical </a:t>
          </a:r>
          <a:r>
            <a:rPr lang="en-US" sz="1100">
              <a:solidFill>
                <a:sysClr val="windowText" lastClr="000000"/>
              </a:solidFill>
              <a:effectLst/>
              <a:latin typeface="+mn-lt"/>
              <a:ea typeface="+mn-ea"/>
              <a:cs typeface="+mn-cs"/>
            </a:rPr>
            <a:t>a</a:t>
          </a:r>
          <a:r>
            <a:rPr lang="fr-FR" sz="1100">
              <a:solidFill>
                <a:sysClr val="windowText" lastClr="000000"/>
              </a:solidFill>
              <a:effectLst/>
              <a:latin typeface="+mn-lt"/>
              <a:ea typeface="+mn-ea"/>
              <a:cs typeface="+mn-cs"/>
            </a:rPr>
            <a:t>nd Nutritional Value </a:t>
          </a:r>
          <a:r>
            <a:rPr lang="en-US" sz="1100">
              <a:solidFill>
                <a:sysClr val="windowText" lastClr="000000"/>
              </a:solidFill>
              <a:effectLst/>
              <a:latin typeface="+mn-lt"/>
              <a:ea typeface="+mn-ea"/>
              <a:cs typeface="+mn-cs"/>
            </a:rPr>
            <a:t>o</a:t>
          </a:r>
          <a:r>
            <a:rPr lang="fr-FR" sz="1100">
              <a:solidFill>
                <a:sysClr val="windowText" lastClr="000000"/>
              </a:solidFill>
              <a:effectLst/>
              <a:latin typeface="+mn-lt"/>
              <a:ea typeface="+mn-ea"/>
              <a:cs typeface="+mn-cs"/>
            </a:rPr>
            <a:t>f Organic Feedstuffs: A Need </a:t>
          </a:r>
          <a:r>
            <a:rPr lang="en-US" sz="1100">
              <a:solidFill>
                <a:sysClr val="windowText" lastClr="000000"/>
              </a:solidFill>
              <a:effectLst/>
              <a:latin typeface="+mn-lt"/>
              <a:ea typeface="+mn-ea"/>
              <a:cs typeface="+mn-cs"/>
            </a:rPr>
            <a:t>t</a:t>
          </a:r>
          <a:r>
            <a:rPr lang="fr-FR" sz="1100">
              <a:solidFill>
                <a:sysClr val="windowText" lastClr="000000"/>
              </a:solidFill>
              <a:effectLst/>
              <a:latin typeface="+mn-lt"/>
              <a:ea typeface="+mn-ea"/>
              <a:cs typeface="+mn-cs"/>
            </a:rPr>
            <a:t>o Address </a:t>
          </a:r>
          <a:r>
            <a:rPr lang="en-US" sz="1100">
              <a:solidFill>
                <a:sysClr val="windowText" lastClr="000000"/>
              </a:solidFill>
              <a:effectLst/>
              <a:latin typeface="+mn-lt"/>
              <a:ea typeface="+mn-ea"/>
              <a:cs typeface="+mn-cs"/>
            </a:rPr>
            <a:t>in</a:t>
          </a:r>
          <a:r>
            <a:rPr lang="fr-FR" sz="1100">
              <a:solidFill>
                <a:sysClr val="windowText" lastClr="000000"/>
              </a:solidFill>
              <a:effectLst/>
              <a:latin typeface="+mn-lt"/>
              <a:ea typeface="+mn-ea"/>
              <a:cs typeface="+mn-cs"/>
            </a:rPr>
            <a:t> Monogastric Feeding</a:t>
          </a:r>
          <a:r>
            <a:rPr lang="en-US" sz="1100">
              <a:solidFill>
                <a:sysClr val="windowText" lastClr="000000"/>
              </a:solidFill>
              <a:effectLst/>
              <a:latin typeface="+mn-lt"/>
              <a:ea typeface="+mn-ea"/>
              <a:cs typeface="+mn-cs"/>
            </a:rPr>
            <a:t>. </a:t>
          </a:r>
          <a:r>
            <a:rPr lang="fr-FR" sz="1100">
              <a:solidFill>
                <a:sysClr val="windowText" lastClr="000000"/>
              </a:solidFill>
              <a:effectLst/>
              <a:latin typeface="+mn-lt"/>
              <a:ea typeface="+mn-ea"/>
              <a:cs typeface="+mn-cs"/>
            </a:rPr>
            <a:t>69</a:t>
          </a:r>
          <a:r>
            <a:rPr lang="en-US" sz="1100">
              <a:solidFill>
                <a:sysClr val="windowText" lastClr="000000"/>
              </a:solidFill>
              <a:effectLst/>
              <a:latin typeface="+mn-lt"/>
              <a:ea typeface="+mn-ea"/>
              <a:cs typeface="+mn-cs"/>
            </a:rPr>
            <a:t>th</a:t>
          </a:r>
          <a:r>
            <a:rPr lang="fr-FR" sz="1100">
              <a:solidFill>
                <a:sysClr val="windowText" lastClr="000000"/>
              </a:solidFill>
              <a:effectLst/>
              <a:latin typeface="+mn-lt"/>
              <a:ea typeface="+mn-ea"/>
              <a:cs typeface="+mn-cs"/>
            </a:rPr>
            <a:t> Annual Meeting of the European Federation of Animal Science (EAAP)</a:t>
          </a:r>
          <a:r>
            <a:rPr lang="en-US" sz="1100">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effectLst/>
              <a:latin typeface="+mn-lt"/>
              <a:ea typeface="+mn-ea"/>
              <a:cs typeface="+mn-cs"/>
            </a:rPr>
            <a:t>Tran G., Heuzé V., Roinsard A., (2019). Composition et valeur nutritionnelle des matières premières biologiques à destination des porcs et des volailles. CASDAR SECALIBIO (2015-2019).</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 </a:t>
          </a:r>
          <a:endParaRPr lang="fr-FR"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ISA Dual Organic System (2020). ISA Dual Product Guide. Retrieved on 23, May 2020: https://www.integrazabcice.cz/en/product/isa-dual/ </a:t>
          </a:r>
          <a:endParaRPr lang="fr-FR" sz="1100">
            <a:solidFill>
              <a:sysClr val="windowText" lastClr="000000"/>
            </a:solidFill>
            <a:effectLst/>
            <a:latin typeface="+mn-lt"/>
            <a:ea typeface="+mn-ea"/>
            <a:cs typeface="+mn-cs"/>
          </a:endParaRPr>
        </a:p>
        <a:p>
          <a:pPr algn="l"/>
          <a:endParaRPr lang="en-GB" sz="1100">
            <a:solidFill>
              <a:sysClr val="windowText" lastClr="000000"/>
            </a:solidFill>
          </a:endParaRPr>
        </a:p>
        <a:p>
          <a:pPr algn="l"/>
          <a:r>
            <a:rPr lang="fr-FR">
              <a:solidFill>
                <a:sysClr val="windowText" lastClr="000000"/>
              </a:solidFill>
            </a:rPr>
            <a:t>Tables INRA, 2002 : Tables INRA 2002 : SAUVANT D., PEREZ J.M. et TRAN D., 2002. Tables de composition et de valeurs nutritives des matières premières destinées aux animaux d’élevage. Paris: Ed. INRA, 2002, 301 p. </a:t>
          </a:r>
        </a:p>
        <a:p>
          <a:pPr algn="l"/>
          <a:endParaRPr lang="fr-FR" sz="1100">
            <a:solidFill>
              <a:sysClr val="windowText" lastClr="000000"/>
            </a:solidFill>
          </a:endParaRPr>
        </a:p>
        <a:p>
          <a:pPr algn="l"/>
          <a:r>
            <a:rPr lang="fr-FR" sz="1100">
              <a:solidFill>
                <a:sysClr val="windowText" lastClr="000000"/>
              </a:solidFill>
            </a:rPr>
            <a:t>AVIFAF©</a:t>
          </a:r>
          <a:r>
            <a:rPr lang="fr-FR" sz="1100" baseline="0">
              <a:solidFill>
                <a:sysClr val="windowText" lastClr="000000"/>
              </a:solidFill>
            </a:rPr>
            <a:t> http://www.avifaf.fr/avifaf/Vue/index.php</a:t>
          </a:r>
        </a:p>
        <a:p>
          <a:pPr algn="l"/>
          <a:endParaRPr lang="fr-FR" sz="1100" baseline="0">
            <a:solidFill>
              <a:sysClr val="windowText" lastClr="000000"/>
            </a:solidFill>
          </a:endParaRPr>
        </a:p>
        <a:p>
          <a:pPr algn="l"/>
          <a:r>
            <a:rPr lang="fr-FR">
              <a:solidFill>
                <a:sysClr val="windowText" lastClr="000000"/>
              </a:solidFill>
              <a:effectLst/>
            </a:rPr>
            <a:t>Feedipedia - Système d'information sur les ressources en alimentation animale - INRAE ​​CIRAD AFZ et FAO © 2012-2020 : https://www.feedipedia.org </a:t>
          </a:r>
          <a:endParaRPr lang="en-GB" sz="1100">
            <a:solidFill>
              <a:sysClr val="windowText" lastClr="000000"/>
            </a:solidFill>
          </a:endParaRPr>
        </a:p>
      </xdr:txBody>
    </xdr:sp>
    <xdr:clientData/>
  </xdr:twoCellAnchor>
  <xdr:twoCellAnchor>
    <xdr:from>
      <xdr:col>0</xdr:col>
      <xdr:colOff>0</xdr:colOff>
      <xdr:row>0</xdr:row>
      <xdr:rowOff>9526</xdr:rowOff>
    </xdr:from>
    <xdr:to>
      <xdr:col>13</xdr:col>
      <xdr:colOff>0</xdr:colOff>
      <xdr:row>5</xdr:row>
      <xdr:rowOff>38100</xdr:rowOff>
    </xdr:to>
    <xdr:sp macro="" textlink="">
      <xdr:nvSpPr>
        <xdr:cNvPr id="3" name="Rectangle 2">
          <a:extLst>
            <a:ext uri="{FF2B5EF4-FFF2-40B4-BE49-F238E27FC236}">
              <a16:creationId xmlns:a16="http://schemas.microsoft.com/office/drawing/2014/main" id="{00000000-0008-0000-0900-000003000000}"/>
            </a:ext>
          </a:extLst>
        </xdr:cNvPr>
        <xdr:cNvSpPr>
          <a:spLocks/>
        </xdr:cNvSpPr>
      </xdr:nvSpPr>
      <xdr:spPr>
        <a:xfrm>
          <a:off x="0" y="9526"/>
          <a:ext cx="7924800" cy="981074"/>
        </a:xfrm>
        <a:prstGeom prst="rect">
          <a:avLst/>
        </a:prstGeom>
        <a:solidFill>
          <a:srgbClr val="92D050"/>
        </a:solidFill>
        <a:ln w="12700" cap="flat" cmpd="sng" algn="ctr">
          <a:noFill/>
          <a:prstDash val="solid"/>
          <a:miter lim="800000"/>
        </a:ln>
        <a:effectLst/>
      </xdr:spPr>
      <xdr:txBody>
        <a:bodyPr rot="0" spcFirstLastPara="0" vert="horz" wrap="square" lIns="216000" tIns="216000" rIns="216000" bIns="216000" numCol="1" spcCol="0" rtlCol="0" fromWordArt="0" anchor="t" anchorCtr="0" forceAA="0" compatLnSpc="1">
          <a:prstTxWarp prst="textNoShape">
            <a:avLst/>
          </a:prstTxWarp>
          <a:noAutofit/>
        </a:bodyPr>
        <a:lstStyle/>
        <a:p>
          <a:pPr algn="ctr">
            <a:lnSpc>
              <a:spcPct val="115000"/>
            </a:lnSpc>
            <a:spcAft>
              <a:spcPts val="200"/>
            </a:spcAft>
          </a:pPr>
          <a:r>
            <a:rPr lang="fr-FR" sz="1600" b="1">
              <a:solidFill>
                <a:sysClr val="windowText" lastClr="000000"/>
              </a:solidFill>
              <a:effectLst/>
              <a:latin typeface="+mn-lt"/>
              <a:ea typeface="Calibri" panose="020F0502020204030204" pitchFamily="34" charset="0"/>
              <a:cs typeface="Times New Roman" panose="02020603050405020304" pitchFamily="18" charset="0"/>
            </a:rPr>
            <a:t>Ration</a:t>
          </a:r>
          <a:r>
            <a:rPr lang="fr-FR" sz="1600" b="1" baseline="0">
              <a:solidFill>
                <a:sysClr val="windowText" lastClr="000000"/>
              </a:solidFill>
              <a:effectLst/>
              <a:latin typeface="+mn-lt"/>
              <a:ea typeface="Calibri" panose="020F0502020204030204" pitchFamily="34" charset="0"/>
              <a:cs typeface="Times New Roman" panose="02020603050405020304" pitchFamily="18" charset="0"/>
            </a:rPr>
            <a:t> Planning Tool: Poultry</a:t>
          </a:r>
        </a:p>
        <a:p>
          <a:pPr algn="ctr">
            <a:lnSpc>
              <a:spcPct val="115000"/>
            </a:lnSpc>
            <a:spcAft>
              <a:spcPts val="200"/>
            </a:spcAft>
          </a:pPr>
          <a:r>
            <a:rPr lang="fr-FR" sz="1600" b="1" baseline="0">
              <a:solidFill>
                <a:sysClr val="windowText" lastClr="000000"/>
              </a:solidFill>
              <a:effectLst/>
              <a:latin typeface="+mn-lt"/>
              <a:ea typeface="Calibri" panose="020F0502020204030204" pitchFamily="34" charset="0"/>
              <a:cs typeface="Times New Roman" panose="02020603050405020304" pitchFamily="18" charset="0"/>
            </a:rPr>
            <a:t>References</a:t>
          </a:r>
          <a:endParaRPr lang="fr-FR" sz="1600" b="1">
            <a:solidFill>
              <a:sysClr val="windowText" lastClr="000000"/>
            </a:solidFill>
            <a:effectLst/>
            <a:latin typeface="+mn-lt"/>
            <a:ea typeface="Calibri" panose="020F0502020204030204" pitchFamily="34"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en.dietemann/Documents/ECOFEED_%20Swine_Tool_V4_BF_L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Tool"/>
      <sheetName val="Database_Feedstuffs"/>
      <sheetName val="Swine_needs"/>
      <sheetName val="PDF_Export"/>
      <sheetName val="Impressum"/>
      <sheetName val="References"/>
      <sheetName val="Contribution"/>
      <sheetName val="List_sheet"/>
      <sheetName val="ECOFEED_ Swine_Tool_V4_BF_LD"/>
    </sheetNames>
    <sheetDataSet>
      <sheetData sheetId="0" refreshError="1"/>
      <sheetData sheetId="1" refreshError="1"/>
      <sheetData sheetId="2">
        <row r="3">
          <cell r="A3" t="str">
            <v>Alfalfa protein concentrate</v>
          </cell>
          <cell r="C3" t="str">
            <v>Other</v>
          </cell>
          <cell r="D3">
            <v>92</v>
          </cell>
          <cell r="E3">
            <v>49.200000762939453</v>
          </cell>
          <cell r="F3">
            <v>2.9000000953674316</v>
          </cell>
          <cell r="G3">
            <v>8.1999998092651367</v>
          </cell>
          <cell r="H3">
            <v>10.100000381469727</v>
          </cell>
          <cell r="I3">
            <v>2.9399999618530273</v>
          </cell>
          <cell r="J3">
            <v>2.3399999618530272</v>
          </cell>
          <cell r="K3">
            <v>1</v>
          </cell>
          <cell r="L3">
            <v>1.4699999809265136</v>
          </cell>
          <cell r="M3">
            <v>0.75</v>
          </cell>
          <cell r="N3">
            <v>0.46999998092651368</v>
          </cell>
          <cell r="O3">
            <v>16.600000381469727</v>
          </cell>
          <cell r="P3">
            <v>2.7999999523162842</v>
          </cell>
          <cell r="Q3">
            <v>7.5999999046325684</v>
          </cell>
          <cell r="R3">
            <v>29.299999237060547</v>
          </cell>
          <cell r="S3">
            <v>35.799999237060547</v>
          </cell>
          <cell r="T3">
            <v>3.3700000762939455</v>
          </cell>
          <cell r="U3">
            <v>0.83999996185302739</v>
          </cell>
          <cell r="V3">
            <v>7.000000000000001E-3</v>
          </cell>
          <cell r="W3">
            <v>0.40000000596046448</v>
          </cell>
          <cell r="X3">
            <v>0.13999999761581422</v>
          </cell>
          <cell r="Y3">
            <v>0.7</v>
          </cell>
          <cell r="Z3">
            <v>15.230125523012552</v>
          </cell>
          <cell r="AA3">
            <v>15.774058577405858</v>
          </cell>
          <cell r="AC3">
            <v>13.93305439330544</v>
          </cell>
          <cell r="AD3">
            <v>3330</v>
          </cell>
          <cell r="AE3">
            <v>8.99581589958159</v>
          </cell>
          <cell r="AF3">
            <v>2150</v>
          </cell>
          <cell r="AG3">
            <v>14.309623430962343</v>
          </cell>
          <cell r="AH3">
            <v>3420</v>
          </cell>
          <cell r="AI3">
            <v>9.3305439330543933</v>
          </cell>
          <cell r="AJ3">
            <v>2230</v>
          </cell>
          <cell r="AK3">
            <v>10</v>
          </cell>
          <cell r="AL3">
            <v>10</v>
          </cell>
          <cell r="AM3">
            <v>0</v>
          </cell>
          <cell r="AN3">
            <v>0</v>
          </cell>
          <cell r="AO3">
            <v>0</v>
          </cell>
          <cell r="AP3">
            <v>0</v>
          </cell>
          <cell r="AQ3">
            <v>0</v>
          </cell>
          <cell r="AR3">
            <v>0</v>
          </cell>
        </row>
        <row r="4">
          <cell r="A4" t="str">
            <v xml:space="preserve">Alfalfa, dehydrated, protein &lt; 16% </v>
          </cell>
          <cell r="C4" t="str">
            <v xml:space="preserve">Dehydrated forage </v>
          </cell>
          <cell r="D4">
            <v>92.599998474121094</v>
          </cell>
          <cell r="E4">
            <v>13.600000381469727</v>
          </cell>
          <cell r="F4">
            <v>28.899999618530273</v>
          </cell>
          <cell r="G4">
            <v>2.2000000476837158</v>
          </cell>
          <cell r="H4">
            <v>9.5</v>
          </cell>
          <cell r="I4">
            <v>0.51999998092651367</v>
          </cell>
          <cell r="J4">
            <v>0.45999999046325685</v>
          </cell>
          <cell r="K4">
            <v>0.11000000238418579</v>
          </cell>
          <cell r="L4">
            <v>0.3</v>
          </cell>
          <cell r="M4">
            <v>0.18999999761581421</v>
          </cell>
          <cell r="N4">
            <v>0.18999999761581421</v>
          </cell>
          <cell r="O4">
            <v>16.600000381469727</v>
          </cell>
          <cell r="P4">
            <v>2.7999999523162842</v>
          </cell>
          <cell r="Q4">
            <v>7.5999999046325684</v>
          </cell>
          <cell r="R4">
            <v>29.299999237060547</v>
          </cell>
          <cell r="S4">
            <v>35.799999237060547</v>
          </cell>
          <cell r="T4">
            <v>1.7700000762939454</v>
          </cell>
          <cell r="U4">
            <v>0.24000000953674316</v>
          </cell>
          <cell r="V4">
            <v>5.6000000238418578E-2</v>
          </cell>
          <cell r="W4">
            <v>0.10000000149011612</v>
          </cell>
          <cell r="X4">
            <v>0.18999999761581421</v>
          </cell>
          <cell r="Y4">
            <v>2.2999999999999998</v>
          </cell>
          <cell r="Z4">
            <v>7.2803347280334725</v>
          </cell>
          <cell r="AA4">
            <v>7.9497907949790791</v>
          </cell>
          <cell r="AB4">
            <v>0.69999998807907104</v>
          </cell>
          <cell r="AC4">
            <v>6.8200836820083683</v>
          </cell>
          <cell r="AD4">
            <v>1630</v>
          </cell>
          <cell r="AE4">
            <v>3.7238493723849371</v>
          </cell>
          <cell r="AF4">
            <v>890</v>
          </cell>
          <cell r="AG4">
            <v>7.1966527196652716</v>
          </cell>
          <cell r="AH4">
            <v>1720</v>
          </cell>
          <cell r="AI4">
            <v>4.01673640167364</v>
          </cell>
          <cell r="AJ4">
            <v>960</v>
          </cell>
          <cell r="AK4">
            <v>0</v>
          </cell>
          <cell r="AL4">
            <v>10</v>
          </cell>
          <cell r="AM4">
            <v>0.2700000047683716</v>
          </cell>
          <cell r="AN4">
            <v>0.27999999523162844</v>
          </cell>
          <cell r="AO4">
            <v>8.0000001192092898E-2</v>
          </cell>
          <cell r="AP4">
            <v>6.0000002384185791E-2</v>
          </cell>
          <cell r="AQ4">
            <v>0.13999999761581422</v>
          </cell>
          <cell r="AR4">
            <v>8.9999997615814203E-2</v>
          </cell>
          <cell r="AS4" t="str">
            <v>Organic table  (ITAB &amp;AFZ)</v>
          </cell>
        </row>
        <row r="5">
          <cell r="A5" t="str">
            <v xml:space="preserve">Alfalfa, dehydrated, protein 16-18% </v>
          </cell>
          <cell r="C5" t="str">
            <v xml:space="preserve">Dehydrated forage </v>
          </cell>
          <cell r="D5">
            <v>91.900001525878906</v>
          </cell>
          <cell r="E5">
            <v>15.600000381469727</v>
          </cell>
          <cell r="F5">
            <v>26.5</v>
          </cell>
          <cell r="G5">
            <v>2.2000000476837158</v>
          </cell>
          <cell r="H5">
            <v>9.8000001907348633</v>
          </cell>
          <cell r="I5">
            <v>0.65999999046325686</v>
          </cell>
          <cell r="J5">
            <v>0.56999998092651372</v>
          </cell>
          <cell r="K5">
            <v>0.1600000023841858</v>
          </cell>
          <cell r="L5">
            <v>0.35999999046325681</v>
          </cell>
          <cell r="M5">
            <v>0.22000000476837159</v>
          </cell>
          <cell r="N5">
            <v>0.2</v>
          </cell>
          <cell r="O5">
            <v>16.600000381469727</v>
          </cell>
          <cell r="P5">
            <v>2.7999999523162842</v>
          </cell>
          <cell r="Q5">
            <v>7.5999999046325684</v>
          </cell>
          <cell r="R5">
            <v>29.299999237060547</v>
          </cell>
          <cell r="S5">
            <v>35.799999237060547</v>
          </cell>
          <cell r="T5">
            <v>2.0499999999999998</v>
          </cell>
          <cell r="U5">
            <v>0.22999999523162842</v>
          </cell>
          <cell r="V5">
            <v>3.3000001311302186E-2</v>
          </cell>
          <cell r="W5">
            <v>0.10000000149011612</v>
          </cell>
          <cell r="X5">
            <v>0.17999999523162841</v>
          </cell>
          <cell r="Y5">
            <v>2.3799999237060545</v>
          </cell>
          <cell r="Z5">
            <v>7.5732217573221758</v>
          </cell>
          <cell r="AA5">
            <v>8.2008368200836816</v>
          </cell>
          <cell r="AB5">
            <v>1</v>
          </cell>
          <cell r="AC5">
            <v>7.0711297071129708</v>
          </cell>
          <cell r="AD5">
            <v>1690</v>
          </cell>
          <cell r="AE5">
            <v>3.9330543933054392</v>
          </cell>
          <cell r="AF5">
            <v>940</v>
          </cell>
          <cell r="AG5">
            <v>7.4476987447698741</v>
          </cell>
          <cell r="AH5">
            <v>1780</v>
          </cell>
          <cell r="AI5">
            <v>4.2259414225941425</v>
          </cell>
          <cell r="AJ5">
            <v>1010.0000000000001</v>
          </cell>
          <cell r="AK5">
            <v>0</v>
          </cell>
          <cell r="AL5">
            <v>10</v>
          </cell>
          <cell r="AM5">
            <v>0.37000000476837158</v>
          </cell>
          <cell r="AN5">
            <v>0.35999999046325681</v>
          </cell>
          <cell r="AO5">
            <v>0.12000000476837158</v>
          </cell>
          <cell r="AP5">
            <v>6.999999880790711E-2</v>
          </cell>
          <cell r="AQ5">
            <v>0.18999999761581421</v>
          </cell>
          <cell r="AR5">
            <v>0.1</v>
          </cell>
          <cell r="AS5" t="str">
            <v>Organic table  (ITAB &amp;AFZ)</v>
          </cell>
        </row>
        <row r="6">
          <cell r="A6" t="str">
            <v xml:space="preserve">Alfalfa, dehydrated, protein 17-19% </v>
          </cell>
          <cell r="C6" t="str">
            <v xml:space="preserve">Dehydrated forage </v>
          </cell>
          <cell r="D6">
            <v>92.099998474121094</v>
          </cell>
          <cell r="E6">
            <v>16.399999618530273</v>
          </cell>
          <cell r="F6">
            <v>25.399999618530273</v>
          </cell>
          <cell r="G6">
            <v>2.2999999523162842</v>
          </cell>
          <cell r="H6">
            <v>10</v>
          </cell>
          <cell r="I6">
            <v>0.71999998092651363</v>
          </cell>
          <cell r="J6">
            <v>0.60999999046325681</v>
          </cell>
          <cell r="K6">
            <v>0.17999999523162841</v>
          </cell>
          <cell r="L6">
            <v>0.39000000953674319</v>
          </cell>
          <cell r="M6">
            <v>0.22999999523162842</v>
          </cell>
          <cell r="N6">
            <v>0.20999999046325685</v>
          </cell>
          <cell r="O6">
            <v>16.600000381469727</v>
          </cell>
          <cell r="P6">
            <v>2.7999999523162842</v>
          </cell>
          <cell r="Q6">
            <v>7.5999999046325684</v>
          </cell>
          <cell r="R6">
            <v>29.299999237060547</v>
          </cell>
          <cell r="S6">
            <v>35.799999237060547</v>
          </cell>
          <cell r="T6">
            <v>1.8799999237060547</v>
          </cell>
          <cell r="U6">
            <v>0.24000000953674316</v>
          </cell>
          <cell r="V6">
            <v>3.8999998569488527E-2</v>
          </cell>
          <cell r="W6">
            <v>0.10000000149011612</v>
          </cell>
          <cell r="X6">
            <v>0.18999999761581421</v>
          </cell>
          <cell r="Y6">
            <v>2.2200000762939451</v>
          </cell>
          <cell r="Z6">
            <v>7.7405857740585775</v>
          </cell>
          <cell r="AA6">
            <v>8.3682008368200833</v>
          </cell>
          <cell r="AB6">
            <v>0.89999997615814209</v>
          </cell>
          <cell r="AC6">
            <v>7.1966527196652716</v>
          </cell>
          <cell r="AD6">
            <v>1720</v>
          </cell>
          <cell r="AE6">
            <v>4.0585774058577408</v>
          </cell>
          <cell r="AF6">
            <v>970.00000000000011</v>
          </cell>
          <cell r="AG6">
            <v>7.5732217573221758</v>
          </cell>
          <cell r="AH6">
            <v>1810</v>
          </cell>
          <cell r="AI6">
            <v>4.3514644351464433</v>
          </cell>
          <cell r="AJ6">
            <v>1040</v>
          </cell>
          <cell r="AK6">
            <v>0</v>
          </cell>
          <cell r="AL6">
            <v>10</v>
          </cell>
          <cell r="AM6">
            <v>0.40999999046325686</v>
          </cell>
          <cell r="AN6">
            <v>0.39000000953674319</v>
          </cell>
          <cell r="AO6">
            <v>0.13999999761581422</v>
          </cell>
          <cell r="AP6">
            <v>6.999999880790711E-2</v>
          </cell>
          <cell r="AQ6">
            <v>0.20999999046325685</v>
          </cell>
          <cell r="AR6">
            <v>0.11000000238418579</v>
          </cell>
          <cell r="AS6" t="str">
            <v>Organic table  (ITAB &amp;AFZ)</v>
          </cell>
        </row>
        <row r="7">
          <cell r="A7" t="str">
            <v xml:space="preserve">Alfalfa, dehydrated, protein 19-22% </v>
          </cell>
          <cell r="C7" t="str">
            <v xml:space="preserve">Dehydrated forage </v>
          </cell>
          <cell r="D7">
            <v>92</v>
          </cell>
          <cell r="E7">
            <v>18.600000381469727</v>
          </cell>
          <cell r="F7">
            <v>23.600000381469727</v>
          </cell>
          <cell r="G7">
            <v>2.7999999523162842</v>
          </cell>
          <cell r="H7">
            <v>10.600000381469727</v>
          </cell>
          <cell r="I7">
            <v>0.86000003814697268</v>
          </cell>
          <cell r="J7">
            <v>0.71999998092651363</v>
          </cell>
          <cell r="K7">
            <v>0.22999999523162842</v>
          </cell>
          <cell r="L7">
            <v>0.45999999046325685</v>
          </cell>
          <cell r="M7">
            <v>0.25999999046325684</v>
          </cell>
          <cell r="N7">
            <v>0.22999999523162842</v>
          </cell>
          <cell r="O7">
            <v>16.600000381469727</v>
          </cell>
          <cell r="P7">
            <v>2.7999999523162842</v>
          </cell>
          <cell r="Q7">
            <v>7.5999999046325684</v>
          </cell>
          <cell r="R7">
            <v>29.299999237060547</v>
          </cell>
          <cell r="S7">
            <v>35.799999237060547</v>
          </cell>
          <cell r="T7">
            <v>2</v>
          </cell>
          <cell r="U7">
            <v>0.24000000953674316</v>
          </cell>
          <cell r="V7">
            <v>4.0000000596046449E-2</v>
          </cell>
          <cell r="W7">
            <v>0.10000000149011612</v>
          </cell>
          <cell r="X7">
            <v>0.18999999761581421</v>
          </cell>
          <cell r="Y7">
            <v>2.2999999999999998</v>
          </cell>
          <cell r="Z7">
            <v>8.03347280334728</v>
          </cell>
          <cell r="AA7">
            <v>8.6192468619246867</v>
          </cell>
          <cell r="AB7">
            <v>0.80000001192092896</v>
          </cell>
          <cell r="AC7">
            <v>7.489539748953975</v>
          </cell>
          <cell r="AD7">
            <v>1790</v>
          </cell>
          <cell r="AE7">
            <v>4.2677824267782425</v>
          </cell>
          <cell r="AF7">
            <v>1020</v>
          </cell>
          <cell r="AG7">
            <v>0</v>
          </cell>
          <cell r="AH7">
            <v>0</v>
          </cell>
          <cell r="AI7">
            <v>4.5606694560669458</v>
          </cell>
          <cell r="AJ7">
            <v>1090</v>
          </cell>
          <cell r="AK7">
            <v>0</v>
          </cell>
          <cell r="AL7">
            <v>10</v>
          </cell>
          <cell r="AM7">
            <v>0.53000001907348637</v>
          </cell>
          <cell r="AN7">
            <v>0.46999998092651368</v>
          </cell>
          <cell r="AO7">
            <v>0.17999999523162841</v>
          </cell>
          <cell r="AP7">
            <v>8.0000001192092898E-2</v>
          </cell>
          <cell r="AQ7">
            <v>0.25999999046325684</v>
          </cell>
          <cell r="AR7">
            <v>0.12000000476837158</v>
          </cell>
          <cell r="AS7" t="str">
            <v>Organic table  (ITAB &amp;AFZ)</v>
          </cell>
        </row>
        <row r="8">
          <cell r="A8" t="str">
            <v>Apple Pulp (Dried)</v>
          </cell>
          <cell r="C8" t="str">
            <v xml:space="preserve">Other plant product </v>
          </cell>
          <cell r="D8">
            <v>91</v>
          </cell>
          <cell r="E8">
            <v>7.3</v>
          </cell>
          <cell r="F8">
            <v>26.4</v>
          </cell>
          <cell r="G8">
            <v>3</v>
          </cell>
          <cell r="H8">
            <v>2.1</v>
          </cell>
          <cell r="I8">
            <v>0.31</v>
          </cell>
          <cell r="J8">
            <v>0.23</v>
          </cell>
          <cell r="K8">
            <v>0.11</v>
          </cell>
          <cell r="L8">
            <v>0.18</v>
          </cell>
          <cell r="M8">
            <v>0.08</v>
          </cell>
          <cell r="N8">
            <v>7.0000000000000007E-2</v>
          </cell>
          <cell r="O8">
            <v>3.5</v>
          </cell>
          <cell r="P8">
            <v>0.3</v>
          </cell>
          <cell r="Q8">
            <v>1.2</v>
          </cell>
          <cell r="R8">
            <v>14.4</v>
          </cell>
          <cell r="S8">
            <v>1.9</v>
          </cell>
          <cell r="T8">
            <v>0.09</v>
          </cell>
          <cell r="U8">
            <v>0.12</v>
          </cell>
          <cell r="V8">
            <v>0.26</v>
          </cell>
          <cell r="W8">
            <v>7.0000000000000007E-2</v>
          </cell>
          <cell r="X8">
            <v>6.0000000000000001E-3</v>
          </cell>
          <cell r="Y8">
            <v>0.3</v>
          </cell>
          <cell r="Z8">
            <v>8.9</v>
          </cell>
          <cell r="AA8">
            <v>10.1</v>
          </cell>
          <cell r="AC8">
            <v>8.5</v>
          </cell>
          <cell r="AD8">
            <v>2020</v>
          </cell>
          <cell r="AE8">
            <v>5.2</v>
          </cell>
          <cell r="AF8">
            <v>1250</v>
          </cell>
          <cell r="AG8">
            <v>9.3000000000000007</v>
          </cell>
          <cell r="AH8">
            <v>2230</v>
          </cell>
          <cell r="AI8">
            <v>5.9</v>
          </cell>
          <cell r="AJ8">
            <v>1410</v>
          </cell>
          <cell r="AM8">
            <v>0.18</v>
          </cell>
          <cell r="AN8">
            <v>0.14000000000000001</v>
          </cell>
          <cell r="AO8">
            <v>0.08</v>
          </cell>
          <cell r="AP8">
            <v>0.04</v>
          </cell>
          <cell r="AQ8">
            <v>0.13</v>
          </cell>
          <cell r="AR8">
            <v>0.05</v>
          </cell>
          <cell r="AS8" t="str">
            <v>Feedtable (INRA)</v>
          </cell>
        </row>
        <row r="9">
          <cell r="A9" t="str">
            <v>Barley 10,3% CP</v>
          </cell>
          <cell r="B9" t="str">
            <v>Orge 10,3% MAT</v>
          </cell>
          <cell r="C9" t="str">
            <v>Cereals</v>
          </cell>
          <cell r="D9">
            <v>87.9</v>
          </cell>
          <cell r="E9">
            <v>10.3</v>
          </cell>
          <cell r="F9">
            <v>4.7</v>
          </cell>
          <cell r="G9">
            <v>1.8</v>
          </cell>
          <cell r="H9">
            <v>2.2000000000000002</v>
          </cell>
          <cell r="I9">
            <v>0.4</v>
          </cell>
          <cell r="J9">
            <v>0.37</v>
          </cell>
          <cell r="K9">
            <v>0.18</v>
          </cell>
          <cell r="L9">
            <v>0.42000000000000004</v>
          </cell>
          <cell r="M9">
            <v>0.13</v>
          </cell>
          <cell r="N9">
            <v>0.24</v>
          </cell>
          <cell r="O9">
            <v>21.2</v>
          </cell>
          <cell r="P9">
            <v>1.1000000000000001</v>
          </cell>
          <cell r="Q9">
            <v>13.4</v>
          </cell>
          <cell r="R9">
            <v>55.9</v>
          </cell>
          <cell r="S9">
            <v>8.6999999999999993</v>
          </cell>
          <cell r="T9">
            <v>6.9999999999999993E-2</v>
          </cell>
          <cell r="U9">
            <v>0.33999999999999997</v>
          </cell>
          <cell r="V9">
            <v>3.0000000000000001E-3</v>
          </cell>
          <cell r="W9">
            <v>1.8</v>
          </cell>
          <cell r="X9">
            <v>0.11000000000000001</v>
          </cell>
          <cell r="Y9">
            <v>0.49000000000000005</v>
          </cell>
          <cell r="Z9">
            <v>13.01255230125523</v>
          </cell>
          <cell r="AA9">
            <v>13.389121338912133</v>
          </cell>
          <cell r="AB9">
            <v>1.1000000000000001</v>
          </cell>
          <cell r="AC9">
            <v>12.594142259414227</v>
          </cell>
          <cell r="AD9">
            <v>3010</v>
          </cell>
          <cell r="AE9">
            <v>9.7071129707112966</v>
          </cell>
          <cell r="AF9">
            <v>2320</v>
          </cell>
          <cell r="AG9">
            <v>12.845188284518828</v>
          </cell>
          <cell r="AH9">
            <v>3070</v>
          </cell>
          <cell r="AI9">
            <v>9.9163179916317983</v>
          </cell>
          <cell r="AJ9">
            <v>2370</v>
          </cell>
          <cell r="AK9">
            <v>40</v>
          </cell>
          <cell r="AL9">
            <v>50</v>
          </cell>
          <cell r="AM9">
            <v>0.27999999999999997</v>
          </cell>
          <cell r="AN9">
            <v>0.25</v>
          </cell>
          <cell r="AO9">
            <v>0.13999999999999999</v>
          </cell>
          <cell r="AP9">
            <v>0.19</v>
          </cell>
          <cell r="AQ9">
            <v>0.32999999999999996</v>
          </cell>
          <cell r="AR9">
            <v>0.1</v>
          </cell>
          <cell r="AS9" t="str">
            <v>Organic table  (ITAB &amp;AFZ)</v>
          </cell>
        </row>
        <row r="10">
          <cell r="A10" t="str">
            <v>Barley 8,3% CP</v>
          </cell>
          <cell r="B10" t="str">
            <v>Orge 8,3% MAT</v>
          </cell>
          <cell r="C10" t="str">
            <v>Cereals</v>
          </cell>
          <cell r="D10">
            <v>87.9</v>
          </cell>
          <cell r="E10">
            <v>8.3000000000000007</v>
          </cell>
          <cell r="F10">
            <v>4.7</v>
          </cell>
          <cell r="G10">
            <v>1.8</v>
          </cell>
          <cell r="H10">
            <v>2.2000000000000002</v>
          </cell>
          <cell r="I10">
            <v>0.32</v>
          </cell>
          <cell r="J10">
            <v>0.28999999999999998</v>
          </cell>
          <cell r="K10">
            <v>0.13999999999999999</v>
          </cell>
          <cell r="L10">
            <v>0.33999999999999997</v>
          </cell>
          <cell r="M10">
            <v>0.11000000000000001</v>
          </cell>
          <cell r="N10">
            <v>0.2</v>
          </cell>
          <cell r="O10">
            <v>21.2</v>
          </cell>
          <cell r="P10">
            <v>1.1000000000000001</v>
          </cell>
          <cell r="Q10">
            <v>13.4</v>
          </cell>
          <cell r="R10">
            <v>55.9</v>
          </cell>
          <cell r="S10">
            <v>8.6999999999999993</v>
          </cell>
          <cell r="T10">
            <v>6.9999999999999993E-2</v>
          </cell>
          <cell r="U10">
            <v>0.33999999999999997</v>
          </cell>
          <cell r="V10">
            <v>3.0000000000000001E-3</v>
          </cell>
          <cell r="W10">
            <v>1.8</v>
          </cell>
          <cell r="X10">
            <v>0.11000000000000001</v>
          </cell>
          <cell r="Y10">
            <v>0.49000000000000005</v>
          </cell>
          <cell r="Z10">
            <v>12.92887029288703</v>
          </cell>
          <cell r="AA10">
            <v>13.263598326359833</v>
          </cell>
          <cell r="AB10">
            <v>1.1000000000000001</v>
          </cell>
          <cell r="AC10">
            <v>12.552301255230125</v>
          </cell>
          <cell r="AD10">
            <v>3000</v>
          </cell>
          <cell r="AE10">
            <v>9.6652719665271967</v>
          </cell>
          <cell r="AF10">
            <v>2310</v>
          </cell>
          <cell r="AG10">
            <v>12.803347280334728</v>
          </cell>
          <cell r="AH10">
            <v>3060</v>
          </cell>
          <cell r="AI10">
            <v>9.8744769874476983</v>
          </cell>
          <cell r="AJ10">
            <v>2360</v>
          </cell>
          <cell r="AK10">
            <v>40</v>
          </cell>
          <cell r="AL10">
            <v>50</v>
          </cell>
          <cell r="AM10">
            <v>0.27999999999999997</v>
          </cell>
          <cell r="AN10">
            <v>0.25</v>
          </cell>
          <cell r="AO10">
            <v>0.13999999999999999</v>
          </cell>
          <cell r="AP10">
            <v>0.19</v>
          </cell>
          <cell r="AQ10">
            <v>0.32999999999999996</v>
          </cell>
          <cell r="AR10">
            <v>0.1</v>
          </cell>
          <cell r="AS10" t="str">
            <v>Organic table  (ITAB &amp;AFZ)</v>
          </cell>
        </row>
        <row r="11">
          <cell r="A11" t="str">
            <v>Barley 9,3% CP</v>
          </cell>
          <cell r="B11" t="str">
            <v>Orge 9,3% MAT</v>
          </cell>
          <cell r="C11" t="str">
            <v>Cereals</v>
          </cell>
          <cell r="D11">
            <v>87.9</v>
          </cell>
          <cell r="E11">
            <v>9.3000000000000007</v>
          </cell>
          <cell r="F11">
            <v>4.7</v>
          </cell>
          <cell r="G11">
            <v>1.8</v>
          </cell>
          <cell r="H11">
            <v>2.2000000000000002</v>
          </cell>
          <cell r="I11">
            <v>0.36</v>
          </cell>
          <cell r="J11">
            <v>0.32999999999999996</v>
          </cell>
          <cell r="K11">
            <v>0.16</v>
          </cell>
          <cell r="L11">
            <v>0.38</v>
          </cell>
          <cell r="M11">
            <v>0.12</v>
          </cell>
          <cell r="N11">
            <v>0.22000000000000003</v>
          </cell>
          <cell r="O11">
            <v>21.2</v>
          </cell>
          <cell r="P11">
            <v>1.1000000000000001</v>
          </cell>
          <cell r="Q11">
            <v>13.4</v>
          </cell>
          <cell r="R11">
            <v>55.9</v>
          </cell>
          <cell r="S11">
            <v>8.6999999999999993</v>
          </cell>
          <cell r="T11">
            <v>6.9999999999999993E-2</v>
          </cell>
          <cell r="U11">
            <v>0.33999999999999997</v>
          </cell>
          <cell r="V11">
            <v>3.0000000000000001E-3</v>
          </cell>
          <cell r="W11">
            <v>1.8</v>
          </cell>
          <cell r="X11">
            <v>0.11000000000000001</v>
          </cell>
          <cell r="Y11">
            <v>0.49000000000000005</v>
          </cell>
          <cell r="Z11">
            <v>12.92887029288703</v>
          </cell>
          <cell r="AA11">
            <v>13.263598326359833</v>
          </cell>
          <cell r="AB11">
            <v>1.1000000000000001</v>
          </cell>
          <cell r="AC11">
            <v>12.510460251046025</v>
          </cell>
          <cell r="AD11">
            <v>2990</v>
          </cell>
          <cell r="AE11">
            <v>9.6234309623430967</v>
          </cell>
          <cell r="AF11">
            <v>2300</v>
          </cell>
          <cell r="AG11">
            <v>12.761506276150628</v>
          </cell>
          <cell r="AH11">
            <v>3050</v>
          </cell>
          <cell r="AI11">
            <v>9.8326359832635983</v>
          </cell>
          <cell r="AJ11">
            <v>2350</v>
          </cell>
          <cell r="AK11">
            <v>40</v>
          </cell>
          <cell r="AL11">
            <v>50</v>
          </cell>
          <cell r="AM11">
            <v>0.27999999999999997</v>
          </cell>
          <cell r="AN11">
            <v>0.25</v>
          </cell>
          <cell r="AO11">
            <v>0.13999999999999999</v>
          </cell>
          <cell r="AP11">
            <v>0.19</v>
          </cell>
          <cell r="AQ11">
            <v>0.32999999999999996</v>
          </cell>
          <cell r="AR11">
            <v>0.1</v>
          </cell>
          <cell r="AS11" t="str">
            <v>Organic table  (ITAB &amp;AFZ)</v>
          </cell>
        </row>
        <row r="12">
          <cell r="A12" t="str">
            <v>Beetroot pulp (dried)</v>
          </cell>
          <cell r="C12" t="str">
            <v xml:space="preserve">Other plant product </v>
          </cell>
          <cell r="D12">
            <v>88.8</v>
          </cell>
          <cell r="E12">
            <v>7.9</v>
          </cell>
          <cell r="F12">
            <v>17.2</v>
          </cell>
          <cell r="G12">
            <v>0.8</v>
          </cell>
          <cell r="H12">
            <v>6.3</v>
          </cell>
          <cell r="I12">
            <v>0.45999999999999996</v>
          </cell>
          <cell r="J12">
            <v>0.36</v>
          </cell>
          <cell r="K12">
            <v>0.13</v>
          </cell>
          <cell r="L12">
            <v>0.22000000000000003</v>
          </cell>
          <cell r="M12">
            <v>0.08</v>
          </cell>
          <cell r="N12">
            <v>0.09</v>
          </cell>
          <cell r="O12">
            <v>20.6</v>
          </cell>
          <cell r="P12">
            <v>1.4</v>
          </cell>
          <cell r="Q12">
            <v>9.6999999999999993</v>
          </cell>
          <cell r="R12">
            <v>57.8</v>
          </cell>
          <cell r="S12">
            <v>10.5</v>
          </cell>
          <cell r="T12">
            <v>1.29</v>
          </cell>
          <cell r="U12">
            <v>0.09</v>
          </cell>
          <cell r="V12">
            <v>5.3000000000000005E-2</v>
          </cell>
          <cell r="W12">
            <v>0.09</v>
          </cell>
          <cell r="X12">
            <v>0.16</v>
          </cell>
          <cell r="Y12">
            <v>0.4</v>
          </cell>
          <cell r="Z12">
            <v>10.794979079497908</v>
          </cell>
          <cell r="AA12">
            <v>12.259414225941423</v>
          </cell>
          <cell r="AC12">
            <v>10.167364016736402</v>
          </cell>
          <cell r="AD12">
            <v>2430</v>
          </cell>
          <cell r="AE12">
            <v>6.1506276150627617</v>
          </cell>
          <cell r="AF12">
            <v>1470</v>
          </cell>
          <cell r="AG12">
            <v>11.00418410041841</v>
          </cell>
          <cell r="AH12">
            <v>2630</v>
          </cell>
          <cell r="AI12">
            <v>7.1129707112970708</v>
          </cell>
          <cell r="AJ12">
            <v>1700</v>
          </cell>
          <cell r="AK12">
            <v>5</v>
          </cell>
          <cell r="AL12">
            <v>20</v>
          </cell>
          <cell r="AM12">
            <v>0.22999999999999998</v>
          </cell>
          <cell r="AN12">
            <v>0.11000000000000001</v>
          </cell>
          <cell r="AO12">
            <v>0.08</v>
          </cell>
          <cell r="AP12">
            <v>0.02</v>
          </cell>
          <cell r="AQ12">
            <v>0.1</v>
          </cell>
          <cell r="AR12">
            <v>0.03</v>
          </cell>
          <cell r="AS12" t="str">
            <v>INRA feed table 902</v>
          </cell>
        </row>
        <row r="13">
          <cell r="A13" t="str">
            <v>Bicalcium Phosphate</v>
          </cell>
          <cell r="C13" t="str">
            <v>Minerals</v>
          </cell>
          <cell r="D13">
            <v>97</v>
          </cell>
          <cell r="H13">
            <v>88.5</v>
          </cell>
          <cell r="I13">
            <v>0</v>
          </cell>
          <cell r="J13">
            <v>0</v>
          </cell>
          <cell r="K13">
            <v>0</v>
          </cell>
          <cell r="L13">
            <v>0</v>
          </cell>
          <cell r="M13">
            <v>0</v>
          </cell>
          <cell r="N13">
            <v>0</v>
          </cell>
          <cell r="O13">
            <v>0</v>
          </cell>
          <cell r="P13">
            <v>0</v>
          </cell>
          <cell r="Q13">
            <v>0</v>
          </cell>
          <cell r="R13">
            <v>0</v>
          </cell>
          <cell r="S13">
            <v>0</v>
          </cell>
          <cell r="T13">
            <v>27.2</v>
          </cell>
          <cell r="U13">
            <v>20.399999999999999</v>
          </cell>
          <cell r="V13">
            <v>0.25</v>
          </cell>
          <cell r="X13">
            <v>0.59</v>
          </cell>
          <cell r="Y13">
            <v>0.22</v>
          </cell>
          <cell r="Z13">
            <v>0</v>
          </cell>
          <cell r="AA13">
            <v>0</v>
          </cell>
          <cell r="AC13">
            <v>0</v>
          </cell>
          <cell r="AD13">
            <v>0</v>
          </cell>
          <cell r="AE13">
            <v>0</v>
          </cell>
          <cell r="AF13">
            <v>0</v>
          </cell>
          <cell r="AG13">
            <v>0</v>
          </cell>
          <cell r="AH13">
            <v>0</v>
          </cell>
          <cell r="AI13">
            <v>0</v>
          </cell>
          <cell r="AJ13">
            <v>0</v>
          </cell>
          <cell r="AK13">
            <v>5</v>
          </cell>
          <cell r="AL13">
            <v>5</v>
          </cell>
          <cell r="AM13">
            <v>0</v>
          </cell>
          <cell r="AN13">
            <v>0</v>
          </cell>
          <cell r="AO13">
            <v>0</v>
          </cell>
          <cell r="AP13">
            <v>0</v>
          </cell>
          <cell r="AQ13">
            <v>0</v>
          </cell>
          <cell r="AR13">
            <v>0</v>
          </cell>
          <cell r="AS13" t="str">
            <v>INRA table</v>
          </cell>
        </row>
        <row r="14">
          <cell r="A14" t="str">
            <v>Blue Lupine</v>
          </cell>
          <cell r="C14" t="str">
            <v>Legume seeds</v>
          </cell>
          <cell r="D14">
            <v>90.3</v>
          </cell>
          <cell r="E14">
            <v>30.3</v>
          </cell>
          <cell r="F14">
            <v>14.2</v>
          </cell>
          <cell r="G14">
            <v>5.4</v>
          </cell>
          <cell r="H14">
            <v>3.2</v>
          </cell>
          <cell r="I14">
            <v>1.53</v>
          </cell>
          <cell r="J14">
            <v>1.1800000000000002</v>
          </cell>
          <cell r="K14">
            <v>0.26</v>
          </cell>
          <cell r="L14">
            <v>0.8</v>
          </cell>
          <cell r="M14">
            <v>0.22000000000000003</v>
          </cell>
          <cell r="N14">
            <v>0.54</v>
          </cell>
          <cell r="O14">
            <v>6.9</v>
          </cell>
          <cell r="P14">
            <v>3.6</v>
          </cell>
          <cell r="Q14">
            <v>31.9</v>
          </cell>
          <cell r="R14">
            <v>46.7</v>
          </cell>
          <cell r="S14">
            <v>4.8</v>
          </cell>
          <cell r="T14">
            <v>0.26</v>
          </cell>
          <cell r="U14">
            <v>0.33999999999999997</v>
          </cell>
          <cell r="V14">
            <v>4.0000000000000001E-3</v>
          </cell>
          <cell r="W14">
            <v>2.1</v>
          </cell>
          <cell r="X14">
            <v>0.19</v>
          </cell>
          <cell r="Y14">
            <v>0.99</v>
          </cell>
          <cell r="Z14">
            <v>14.309623430962343</v>
          </cell>
          <cell r="AA14">
            <v>15.732217573221757</v>
          </cell>
          <cell r="AB14">
            <v>1.7</v>
          </cell>
          <cell r="AC14">
            <v>13.305439330543933</v>
          </cell>
          <cell r="AD14">
            <v>3180</v>
          </cell>
          <cell r="AE14">
            <v>8.451882845188285</v>
          </cell>
          <cell r="AF14">
            <v>2020.0000000000002</v>
          </cell>
          <cell r="AG14">
            <v>14.351464435146443</v>
          </cell>
          <cell r="AH14">
            <v>3430</v>
          </cell>
          <cell r="AI14">
            <v>9.3305439330543933</v>
          </cell>
          <cell r="AJ14">
            <v>2230</v>
          </cell>
          <cell r="AK14">
            <v>5</v>
          </cell>
          <cell r="AL14">
            <v>10</v>
          </cell>
          <cell r="AM14">
            <v>1.33</v>
          </cell>
          <cell r="AN14">
            <v>0.98000000000000009</v>
          </cell>
          <cell r="AO14">
            <v>0.22999999999999998</v>
          </cell>
          <cell r="AP14">
            <v>0.47000000000000003</v>
          </cell>
          <cell r="AQ14">
            <v>0.69000000000000006</v>
          </cell>
          <cell r="AR14">
            <v>1.24</v>
          </cell>
          <cell r="AS14" t="str">
            <v>INRA feed table 2002</v>
          </cell>
        </row>
        <row r="15">
          <cell r="A15" t="str">
            <v>Brewery draft dried</v>
          </cell>
          <cell r="C15" t="str">
            <v>Wheat by-products</v>
          </cell>
          <cell r="D15">
            <v>91</v>
          </cell>
          <cell r="E15">
            <v>25.8</v>
          </cell>
          <cell r="F15">
            <v>15.8</v>
          </cell>
          <cell r="G15">
            <v>6.7</v>
          </cell>
          <cell r="H15">
            <v>4.5999999999999996</v>
          </cell>
          <cell r="I15">
            <v>0.31</v>
          </cell>
          <cell r="J15">
            <v>0.32</v>
          </cell>
          <cell r="K15">
            <v>0.15</v>
          </cell>
          <cell r="L15">
            <v>0.32999999999999996</v>
          </cell>
          <cell r="M15">
            <v>0.12</v>
          </cell>
          <cell r="N15">
            <v>0.18</v>
          </cell>
          <cell r="T15">
            <v>0.27</v>
          </cell>
          <cell r="U15">
            <v>0.57000000000000006</v>
          </cell>
          <cell r="V15">
            <v>0</v>
          </cell>
          <cell r="X15">
            <v>0.26</v>
          </cell>
          <cell r="Y15">
            <v>0.45999999999999996</v>
          </cell>
          <cell r="Z15">
            <v>14.100418410041842</v>
          </cell>
          <cell r="AA15">
            <v>0</v>
          </cell>
          <cell r="AC15">
            <v>14.07531380753138</v>
          </cell>
          <cell r="AD15">
            <v>3364</v>
          </cell>
          <cell r="AE15">
            <v>0</v>
          </cell>
          <cell r="AF15">
            <v>0</v>
          </cell>
          <cell r="AG15">
            <v>0</v>
          </cell>
          <cell r="AH15">
            <v>0</v>
          </cell>
          <cell r="AI15">
            <v>0</v>
          </cell>
          <cell r="AJ15">
            <v>0</v>
          </cell>
          <cell r="AK15">
            <v>0</v>
          </cell>
          <cell r="AL15">
            <v>20</v>
          </cell>
          <cell r="AM15">
            <v>0</v>
          </cell>
          <cell r="AN15">
            <v>0</v>
          </cell>
          <cell r="AO15">
            <v>0</v>
          </cell>
          <cell r="AP15">
            <v>0</v>
          </cell>
          <cell r="AQ15">
            <v>0</v>
          </cell>
          <cell r="AR15">
            <v>0</v>
          </cell>
          <cell r="AS15" t="str">
            <v>Albuquerque et al., R. Bras. Zootec., v.41, n.7, p.1784-1788, 2012</v>
          </cell>
        </row>
        <row r="16">
          <cell r="A16" t="str">
            <v>Buckwheat</v>
          </cell>
          <cell r="B16" t="str">
            <v>Sarrasin</v>
          </cell>
          <cell r="C16" t="str">
            <v>Cereals</v>
          </cell>
          <cell r="D16">
            <v>84.9</v>
          </cell>
          <cell r="E16">
            <v>13.2</v>
          </cell>
          <cell r="F16">
            <v>13.1</v>
          </cell>
          <cell r="G16">
            <v>2.6</v>
          </cell>
          <cell r="H16">
            <v>2.9</v>
          </cell>
          <cell r="I16">
            <v>0.57000000000000006</v>
          </cell>
          <cell r="J16">
            <v>0.36</v>
          </cell>
          <cell r="K16">
            <v>0.22999999999999998</v>
          </cell>
          <cell r="L16">
            <v>0.41</v>
          </cell>
          <cell r="M16">
            <v>0.06</v>
          </cell>
          <cell r="N16">
            <v>0.18</v>
          </cell>
          <cell r="O16">
            <v>16.600000000000001</v>
          </cell>
          <cell r="P16">
            <v>1.6</v>
          </cell>
          <cell r="Q16">
            <v>35.799999999999997</v>
          </cell>
          <cell r="R16">
            <v>36.799999999999997</v>
          </cell>
          <cell r="S16">
            <v>4.0999999999999996</v>
          </cell>
          <cell r="T16">
            <v>0.22000000000000003</v>
          </cell>
          <cell r="U16">
            <v>0.32999999999999996</v>
          </cell>
          <cell r="V16">
            <v>0</v>
          </cell>
          <cell r="X16">
            <v>1.2E-2</v>
          </cell>
          <cell r="Y16">
            <v>0</v>
          </cell>
          <cell r="Z16">
            <v>12.301255230125523</v>
          </cell>
          <cell r="AA16">
            <v>0</v>
          </cell>
          <cell r="AC16">
            <v>11.882845188284518</v>
          </cell>
          <cell r="AD16">
            <v>2840</v>
          </cell>
          <cell r="AE16">
            <v>9.2050209205020916</v>
          </cell>
          <cell r="AF16">
            <v>2200</v>
          </cell>
          <cell r="AG16">
            <v>0</v>
          </cell>
          <cell r="AH16">
            <v>0</v>
          </cell>
          <cell r="AI16">
            <v>0</v>
          </cell>
          <cell r="AJ16">
            <v>0</v>
          </cell>
          <cell r="AL16">
            <v>40</v>
          </cell>
          <cell r="AM16">
            <v>0</v>
          </cell>
          <cell r="AN16">
            <v>0</v>
          </cell>
          <cell r="AO16">
            <v>0</v>
          </cell>
          <cell r="AP16">
            <v>0</v>
          </cell>
          <cell r="AQ16">
            <v>0</v>
          </cell>
          <cell r="AR16">
            <v>0</v>
          </cell>
          <cell r="AS16" t="str">
            <v>Feedipedia</v>
          </cell>
        </row>
        <row r="17">
          <cell r="A17" t="str">
            <v>Calcium carbonate</v>
          </cell>
          <cell r="C17" t="str">
            <v>Minerals</v>
          </cell>
          <cell r="D17">
            <v>99.9</v>
          </cell>
          <cell r="E17">
            <v>0</v>
          </cell>
          <cell r="F17">
            <v>0</v>
          </cell>
          <cell r="G17">
            <v>0</v>
          </cell>
          <cell r="H17">
            <v>99.3</v>
          </cell>
          <cell r="I17">
            <v>0</v>
          </cell>
          <cell r="J17">
            <v>0</v>
          </cell>
          <cell r="K17">
            <v>0</v>
          </cell>
          <cell r="L17">
            <v>0</v>
          </cell>
          <cell r="M17">
            <v>0</v>
          </cell>
          <cell r="N17">
            <v>0</v>
          </cell>
          <cell r="O17">
            <v>0</v>
          </cell>
          <cell r="P17">
            <v>0</v>
          </cell>
          <cell r="Q17">
            <v>0</v>
          </cell>
          <cell r="R17">
            <v>0</v>
          </cell>
          <cell r="S17">
            <v>0</v>
          </cell>
          <cell r="T17">
            <v>38.700000000000003</v>
          </cell>
          <cell r="U17">
            <v>0.03</v>
          </cell>
          <cell r="V17">
            <v>6.4000000000000001E-2</v>
          </cell>
          <cell r="X17">
            <v>0.04</v>
          </cell>
          <cell r="Y17">
            <v>0</v>
          </cell>
          <cell r="Z17">
            <v>0</v>
          </cell>
          <cell r="AA17">
            <v>0</v>
          </cell>
          <cell r="AC17">
            <v>0</v>
          </cell>
          <cell r="AD17">
            <v>0</v>
          </cell>
          <cell r="AE17">
            <v>0</v>
          </cell>
          <cell r="AF17">
            <v>0</v>
          </cell>
          <cell r="AG17">
            <v>0</v>
          </cell>
          <cell r="AH17">
            <v>0</v>
          </cell>
          <cell r="AI17">
            <v>0</v>
          </cell>
          <cell r="AJ17">
            <v>0</v>
          </cell>
          <cell r="AK17">
            <v>5</v>
          </cell>
          <cell r="AL17">
            <v>5</v>
          </cell>
          <cell r="AM17">
            <v>0</v>
          </cell>
          <cell r="AN17">
            <v>0</v>
          </cell>
          <cell r="AO17">
            <v>0</v>
          </cell>
          <cell r="AP17">
            <v>0</v>
          </cell>
          <cell r="AQ17">
            <v>0</v>
          </cell>
          <cell r="AR17">
            <v>0</v>
          </cell>
          <cell r="AS17" t="str">
            <v>Organic table  (ITAB &amp;AFZ)</v>
          </cell>
        </row>
        <row r="18">
          <cell r="A18" t="str">
            <v>Camelina cake</v>
          </cell>
          <cell r="C18" t="str">
            <v>Oilseeds (Cake)</v>
          </cell>
          <cell r="D18">
            <v>91.1</v>
          </cell>
          <cell r="E18">
            <v>33.200000000000003</v>
          </cell>
          <cell r="F18">
            <v>11.5</v>
          </cell>
          <cell r="G18">
            <v>14.5</v>
          </cell>
          <cell r="H18">
            <v>5.5</v>
          </cell>
          <cell r="I18">
            <v>1.54</v>
          </cell>
          <cell r="J18">
            <v>1.3</v>
          </cell>
          <cell r="K18">
            <v>0.64</v>
          </cell>
          <cell r="L18">
            <v>1.3900000000000001</v>
          </cell>
          <cell r="M18">
            <v>0.38</v>
          </cell>
          <cell r="N18">
            <v>0.76</v>
          </cell>
          <cell r="O18">
            <v>8.1</v>
          </cell>
          <cell r="P18">
            <v>2.5</v>
          </cell>
          <cell r="Q18">
            <v>18.3</v>
          </cell>
          <cell r="R18">
            <v>24.6</v>
          </cell>
          <cell r="S18">
            <v>33.200000000000003</v>
          </cell>
          <cell r="T18">
            <v>0.33999999999999997</v>
          </cell>
          <cell r="U18">
            <v>0.86</v>
          </cell>
          <cell r="V18">
            <v>5.0000000000000001E-3</v>
          </cell>
          <cell r="W18">
            <v>5.2</v>
          </cell>
          <cell r="X18">
            <v>0.36</v>
          </cell>
          <cell r="Y18">
            <v>1.2</v>
          </cell>
          <cell r="Z18">
            <v>11.338912133891213</v>
          </cell>
          <cell r="AA18">
            <v>12.594142259414227</v>
          </cell>
          <cell r="AB18">
            <v>2.8</v>
          </cell>
          <cell r="AC18">
            <v>10.460251046025105</v>
          </cell>
          <cell r="AD18">
            <v>2500</v>
          </cell>
          <cell r="AE18">
            <v>7.8661087866108783</v>
          </cell>
          <cell r="AF18">
            <v>1880</v>
          </cell>
          <cell r="AG18">
            <v>11.589958158995817</v>
          </cell>
          <cell r="AH18">
            <v>2770</v>
          </cell>
          <cell r="AI18">
            <v>8.4100418410041833</v>
          </cell>
          <cell r="AJ18">
            <v>2009.9999999999998</v>
          </cell>
          <cell r="AK18">
            <v>5</v>
          </cell>
          <cell r="AL18">
            <v>5</v>
          </cell>
          <cell r="AM18">
            <v>0.82</v>
          </cell>
          <cell r="AN18">
            <v>0.65999999999999992</v>
          </cell>
          <cell r="AO18">
            <v>0.47000000000000003</v>
          </cell>
          <cell r="AP18">
            <v>0.41</v>
          </cell>
          <cell r="AQ18">
            <v>0.88000000000000012</v>
          </cell>
          <cell r="AR18">
            <v>0.31</v>
          </cell>
          <cell r="AS18" t="str">
            <v>Organic table  (ITAB &amp;AFZ)</v>
          </cell>
        </row>
        <row r="19">
          <cell r="A19" t="str">
            <v>Chickpea (Extruded)</v>
          </cell>
          <cell r="C19" t="str">
            <v>Legume seeds</v>
          </cell>
          <cell r="D19">
            <v>87.9</v>
          </cell>
          <cell r="E19">
            <v>18.600000000000001</v>
          </cell>
          <cell r="F19">
            <v>3.4</v>
          </cell>
          <cell r="G19">
            <v>5.5</v>
          </cell>
          <cell r="H19">
            <v>2.9</v>
          </cell>
          <cell r="I19">
            <v>1.26</v>
          </cell>
          <cell r="J19">
            <v>0.65999999999999992</v>
          </cell>
          <cell r="K19">
            <v>0.22999999999999998</v>
          </cell>
          <cell r="L19">
            <v>0.45</v>
          </cell>
          <cell r="M19">
            <v>0.16999999999999998</v>
          </cell>
          <cell r="N19">
            <v>0.22000000000000003</v>
          </cell>
          <cell r="O19">
            <v>25.5</v>
          </cell>
          <cell r="P19">
            <v>1.8</v>
          </cell>
          <cell r="Q19">
            <v>53.3</v>
          </cell>
          <cell r="R19">
            <v>13.1</v>
          </cell>
          <cell r="S19">
            <v>5.5</v>
          </cell>
          <cell r="T19">
            <v>0.12</v>
          </cell>
          <cell r="U19">
            <v>0.41</v>
          </cell>
          <cell r="V19">
            <v>3.4000000000000002E-2</v>
          </cell>
          <cell r="W19">
            <v>2</v>
          </cell>
          <cell r="X19">
            <v>0.13</v>
          </cell>
          <cell r="Y19">
            <v>0.96</v>
          </cell>
          <cell r="Z19">
            <v>14.769874476987448</v>
          </cell>
          <cell r="AA19">
            <v>15.355648535564853</v>
          </cell>
          <cell r="AC19">
            <v>14.184100418410042</v>
          </cell>
          <cell r="AD19">
            <v>3390</v>
          </cell>
          <cell r="AE19">
            <v>10.669456066945607</v>
          </cell>
          <cell r="AF19">
            <v>2550</v>
          </cell>
          <cell r="AG19">
            <v>14.644351464435147</v>
          </cell>
          <cell r="AH19">
            <v>3500</v>
          </cell>
          <cell r="AI19">
            <v>11.00418410041841</v>
          </cell>
          <cell r="AJ19">
            <v>2630</v>
          </cell>
          <cell r="AK19">
            <v>10</v>
          </cell>
          <cell r="AL19">
            <v>25</v>
          </cell>
          <cell r="AM19">
            <v>0</v>
          </cell>
          <cell r="AN19">
            <v>0</v>
          </cell>
          <cell r="AO19">
            <v>0</v>
          </cell>
          <cell r="AP19">
            <v>0</v>
          </cell>
          <cell r="AQ19">
            <v>0</v>
          </cell>
          <cell r="AR19">
            <v>0</v>
          </cell>
          <cell r="AS19" t="str">
            <v>INRA feed table 2002</v>
          </cell>
        </row>
        <row r="20">
          <cell r="A20" t="str">
            <v>Conventionnal corn gluten</v>
          </cell>
          <cell r="C20" t="str">
            <v>Cereals byproducts</v>
          </cell>
          <cell r="D20">
            <v>87.8</v>
          </cell>
          <cell r="E20">
            <v>18.899999999999999</v>
          </cell>
          <cell r="F20">
            <v>7.9</v>
          </cell>
          <cell r="G20">
            <v>2.5</v>
          </cell>
          <cell r="H20">
            <v>5.7</v>
          </cell>
          <cell r="I20">
            <v>0.6</v>
          </cell>
          <cell r="J20">
            <v>0.65</v>
          </cell>
          <cell r="K20">
            <v>0.32</v>
          </cell>
          <cell r="L20">
            <v>0.67</v>
          </cell>
          <cell r="M20">
            <v>0.13</v>
          </cell>
          <cell r="N20">
            <v>0.35</v>
          </cell>
          <cell r="O20">
            <v>10.5</v>
          </cell>
          <cell r="P20">
            <v>1.8</v>
          </cell>
          <cell r="Q20">
            <v>26.1</v>
          </cell>
          <cell r="R20">
            <v>59.5</v>
          </cell>
          <cell r="S20">
            <v>1.3</v>
          </cell>
          <cell r="T20">
            <v>0.13999999999999999</v>
          </cell>
          <cell r="U20">
            <v>0.86</v>
          </cell>
          <cell r="V20">
            <v>8.299999999999999E-2</v>
          </cell>
          <cell r="W20">
            <v>5.6</v>
          </cell>
          <cell r="X20">
            <v>0.37</v>
          </cell>
          <cell r="Y20">
            <v>1.35</v>
          </cell>
          <cell r="Z20">
            <v>10.460251046025105</v>
          </cell>
          <cell r="AA20">
            <v>12.343096234309623</v>
          </cell>
          <cell r="AB20">
            <v>1.9</v>
          </cell>
          <cell r="AC20">
            <v>9.8326359832635983</v>
          </cell>
          <cell r="AD20">
            <v>2350</v>
          </cell>
          <cell r="AE20">
            <v>6.5690376569037658</v>
          </cell>
          <cell r="AF20">
            <v>1570</v>
          </cell>
          <cell r="AG20">
            <v>11.422594142259415</v>
          </cell>
          <cell r="AH20">
            <v>2730</v>
          </cell>
          <cell r="AI20">
            <v>7.7405857740585775</v>
          </cell>
          <cell r="AJ20">
            <v>1850</v>
          </cell>
          <cell r="AK20">
            <v>5</v>
          </cell>
          <cell r="AL20">
            <v>5</v>
          </cell>
          <cell r="AM20">
            <v>0.4</v>
          </cell>
          <cell r="AN20">
            <v>0.45999999999999996</v>
          </cell>
          <cell r="AO20">
            <v>0.21000000000000002</v>
          </cell>
          <cell r="AP20">
            <v>0.24</v>
          </cell>
          <cell r="AQ20">
            <v>0.51</v>
          </cell>
          <cell r="AR20">
            <v>0.08</v>
          </cell>
          <cell r="AS20" t="str">
            <v>INRA feed table 2602</v>
          </cell>
        </row>
        <row r="21">
          <cell r="A21" t="str">
            <v>Conventionnal potato protein</v>
          </cell>
          <cell r="C21" t="str">
            <v>Root byproduct</v>
          </cell>
          <cell r="D21">
            <v>91.8</v>
          </cell>
          <cell r="E21">
            <v>77.2</v>
          </cell>
          <cell r="F21">
            <v>0.8</v>
          </cell>
          <cell r="G21">
            <v>0.6</v>
          </cell>
          <cell r="H21">
            <v>2.4</v>
          </cell>
          <cell r="I21">
            <v>5.89</v>
          </cell>
          <cell r="J21">
            <v>4.34</v>
          </cell>
          <cell r="K21">
            <v>1.7</v>
          </cell>
          <cell r="L21">
            <v>2.75</v>
          </cell>
          <cell r="M21">
            <v>1.08</v>
          </cell>
          <cell r="N21">
            <v>1.05</v>
          </cell>
          <cell r="O21">
            <v>17.8</v>
          </cell>
          <cell r="P21">
            <v>5.4</v>
          </cell>
          <cell r="Q21">
            <v>1.9</v>
          </cell>
          <cell r="R21">
            <v>56.5</v>
          </cell>
          <cell r="S21">
            <v>17.2</v>
          </cell>
          <cell r="T21">
            <v>0.2</v>
          </cell>
          <cell r="U21">
            <v>0.41</v>
          </cell>
          <cell r="V21">
            <v>4.1999999999999996E-2</v>
          </cell>
          <cell r="W21">
            <v>0.6</v>
          </cell>
          <cell r="X21">
            <v>0.05</v>
          </cell>
          <cell r="Y21">
            <v>0.54</v>
          </cell>
          <cell r="Z21">
            <v>19.8744769874477</v>
          </cell>
          <cell r="AA21">
            <v>20</v>
          </cell>
          <cell r="AC21">
            <v>17.824267782426777</v>
          </cell>
          <cell r="AD21">
            <v>4260</v>
          </cell>
          <cell r="AE21">
            <v>10.334728033472803</v>
          </cell>
          <cell r="AF21">
            <v>2470</v>
          </cell>
          <cell r="AG21">
            <v>17.86610878661088</v>
          </cell>
          <cell r="AH21">
            <v>4270</v>
          </cell>
          <cell r="AI21">
            <v>10.585774058577407</v>
          </cell>
          <cell r="AJ21">
            <v>2530</v>
          </cell>
          <cell r="AK21">
            <v>5</v>
          </cell>
          <cell r="AL21">
            <v>5</v>
          </cell>
          <cell r="AM21">
            <v>0.52700000000000002</v>
          </cell>
          <cell r="AN21">
            <v>0.38800000000000001</v>
          </cell>
          <cell r="AO21">
            <v>0.155</v>
          </cell>
          <cell r="AP21">
            <v>8.199999999999999E-2</v>
          </cell>
          <cell r="AQ21">
            <v>0.23700000000000002</v>
          </cell>
          <cell r="AR21">
            <v>8.0999999999999989E-2</v>
          </cell>
          <cell r="AS21" t="str">
            <v>INRA feed table 102</v>
          </cell>
        </row>
        <row r="22">
          <cell r="A22" t="str">
            <v>Corn 7,6% CP</v>
          </cell>
          <cell r="B22" t="str">
            <v>Maïs 7,6% MAT</v>
          </cell>
          <cell r="C22" t="str">
            <v>Cereals</v>
          </cell>
          <cell r="D22">
            <v>86.4</v>
          </cell>
          <cell r="E22">
            <v>7.6</v>
          </cell>
          <cell r="F22">
            <v>2.2999999999999998</v>
          </cell>
          <cell r="G22">
            <v>3.3</v>
          </cell>
          <cell r="H22">
            <v>1.2</v>
          </cell>
          <cell r="I22">
            <v>0.22999999999999998</v>
          </cell>
          <cell r="J22">
            <v>0.28999999999999998</v>
          </cell>
          <cell r="K22">
            <v>0.16</v>
          </cell>
          <cell r="L22">
            <v>0.35</v>
          </cell>
          <cell r="M22">
            <v>0.05</v>
          </cell>
          <cell r="N22">
            <v>0.19</v>
          </cell>
          <cell r="O22">
            <v>3.2</v>
          </cell>
          <cell r="P22">
            <v>0.5</v>
          </cell>
          <cell r="Q22">
            <v>7.9</v>
          </cell>
          <cell r="R22">
            <v>17.899999999999999</v>
          </cell>
          <cell r="S22">
            <v>0.4</v>
          </cell>
          <cell r="T22">
            <v>0.04</v>
          </cell>
          <cell r="U22">
            <v>0.26</v>
          </cell>
          <cell r="V22">
            <v>0.01</v>
          </cell>
          <cell r="W22">
            <v>1.9</v>
          </cell>
          <cell r="X22">
            <v>0.11000000000000001</v>
          </cell>
          <cell r="Y22">
            <v>0.31</v>
          </cell>
          <cell r="Z22">
            <v>14.01673640167364</v>
          </cell>
          <cell r="AA22">
            <v>14.602510460251047</v>
          </cell>
          <cell r="AB22">
            <v>0.7</v>
          </cell>
          <cell r="AC22">
            <v>13.682008368200837</v>
          </cell>
          <cell r="AD22">
            <v>3270</v>
          </cell>
          <cell r="AE22">
            <v>10.96234309623431</v>
          </cell>
          <cell r="AF22">
            <v>2620</v>
          </cell>
          <cell r="AG22">
            <v>14.184100418410042</v>
          </cell>
          <cell r="AH22">
            <v>3390</v>
          </cell>
          <cell r="AI22">
            <v>11.297071129707113</v>
          </cell>
          <cell r="AJ22">
            <v>2700</v>
          </cell>
          <cell r="AK22">
            <v>50</v>
          </cell>
          <cell r="AL22">
            <v>50</v>
          </cell>
          <cell r="AM22">
            <v>0.19</v>
          </cell>
          <cell r="AN22">
            <v>0.24</v>
          </cell>
          <cell r="AO22">
            <v>0.15</v>
          </cell>
          <cell r="AP22">
            <v>0.16999999999999998</v>
          </cell>
          <cell r="AQ22">
            <v>0.32</v>
          </cell>
          <cell r="AR22">
            <v>0.04</v>
          </cell>
          <cell r="AS22" t="str">
            <v>Organic table  (ITAB &amp;AFZ)</v>
          </cell>
        </row>
        <row r="23">
          <cell r="A23" t="str">
            <v>Corn 8,6% CP</v>
          </cell>
          <cell r="B23" t="str">
            <v>Maïs 8,6% MAT</v>
          </cell>
          <cell r="C23" t="str">
            <v>Cereals</v>
          </cell>
          <cell r="D23">
            <v>86.4</v>
          </cell>
          <cell r="E23">
            <v>7.6</v>
          </cell>
          <cell r="F23">
            <v>2.2999999999999998</v>
          </cell>
          <cell r="G23">
            <v>3.3</v>
          </cell>
          <cell r="H23">
            <v>1.2</v>
          </cell>
          <cell r="I23">
            <v>0.26</v>
          </cell>
          <cell r="J23">
            <v>0.32999999999999996</v>
          </cell>
          <cell r="K23">
            <v>0.18</v>
          </cell>
          <cell r="L23">
            <v>0.4</v>
          </cell>
          <cell r="M23">
            <v>0.06</v>
          </cell>
          <cell r="N23">
            <v>0.22000000000000003</v>
          </cell>
          <cell r="O23">
            <v>3.2</v>
          </cell>
          <cell r="P23">
            <v>0.5</v>
          </cell>
          <cell r="Q23">
            <v>7.9</v>
          </cell>
          <cell r="R23">
            <v>17.899999999999999</v>
          </cell>
          <cell r="S23">
            <v>0.4</v>
          </cell>
          <cell r="T23">
            <v>0.04</v>
          </cell>
          <cell r="U23">
            <v>0.26</v>
          </cell>
          <cell r="V23">
            <v>0.01</v>
          </cell>
          <cell r="W23">
            <v>1.9</v>
          </cell>
          <cell r="X23">
            <v>0.11000000000000001</v>
          </cell>
          <cell r="Y23">
            <v>0.31</v>
          </cell>
          <cell r="Z23">
            <v>14.225941422594142</v>
          </cell>
          <cell r="AA23">
            <v>14.769874476987448</v>
          </cell>
          <cell r="AB23">
            <v>0.7</v>
          </cell>
          <cell r="AC23">
            <v>13.849372384937238</v>
          </cell>
          <cell r="AD23">
            <v>3310</v>
          </cell>
          <cell r="AE23">
            <v>11.04602510460251</v>
          </cell>
          <cell r="AF23">
            <v>2640</v>
          </cell>
          <cell r="AG23">
            <v>14.309623430962343</v>
          </cell>
          <cell r="AH23">
            <v>3420</v>
          </cell>
          <cell r="AI23">
            <v>11.297071129707113</v>
          </cell>
          <cell r="AJ23">
            <v>2700</v>
          </cell>
          <cell r="AK23">
            <v>50</v>
          </cell>
          <cell r="AL23">
            <v>50</v>
          </cell>
          <cell r="AM23">
            <v>0.19</v>
          </cell>
          <cell r="AN23">
            <v>0.24</v>
          </cell>
          <cell r="AO23">
            <v>0.15</v>
          </cell>
          <cell r="AP23">
            <v>0.16999999999999998</v>
          </cell>
          <cell r="AQ23">
            <v>0.32</v>
          </cell>
          <cell r="AR23">
            <v>0.04</v>
          </cell>
          <cell r="AS23" t="str">
            <v>Organic table  (ITAB &amp;AFZ)</v>
          </cell>
        </row>
        <row r="24">
          <cell r="A24" t="str">
            <v>Corn 9,6% CP</v>
          </cell>
          <cell r="B24" t="str">
            <v>Maïs 9,6% MAT</v>
          </cell>
          <cell r="C24" t="str">
            <v>Cereals</v>
          </cell>
          <cell r="D24">
            <v>86.4</v>
          </cell>
          <cell r="E24">
            <v>7.6</v>
          </cell>
          <cell r="F24">
            <v>2.2999999999999998</v>
          </cell>
          <cell r="G24">
            <v>3.3</v>
          </cell>
          <cell r="H24">
            <v>1.2</v>
          </cell>
          <cell r="I24">
            <v>0.28999999999999998</v>
          </cell>
          <cell r="J24">
            <v>0.37</v>
          </cell>
          <cell r="K24">
            <v>0.2</v>
          </cell>
          <cell r="L24">
            <v>0.44000000000000006</v>
          </cell>
          <cell r="M24">
            <v>0.06</v>
          </cell>
          <cell r="N24">
            <v>0.24</v>
          </cell>
          <cell r="O24">
            <v>3.2</v>
          </cell>
          <cell r="P24">
            <v>0.5</v>
          </cell>
          <cell r="Q24">
            <v>7.9</v>
          </cell>
          <cell r="R24">
            <v>17.899999999999999</v>
          </cell>
          <cell r="S24">
            <v>0.4</v>
          </cell>
          <cell r="T24">
            <v>0.04</v>
          </cell>
          <cell r="U24">
            <v>0.26</v>
          </cell>
          <cell r="V24">
            <v>0.01</v>
          </cell>
          <cell r="W24">
            <v>1.9</v>
          </cell>
          <cell r="X24">
            <v>0.11000000000000001</v>
          </cell>
          <cell r="Y24">
            <v>0.31</v>
          </cell>
          <cell r="Z24">
            <v>14.267782426778243</v>
          </cell>
          <cell r="AA24">
            <v>14.811715481171548</v>
          </cell>
          <cell r="AB24">
            <v>0.7</v>
          </cell>
          <cell r="AC24">
            <v>13.891213389121338</v>
          </cell>
          <cell r="AD24">
            <v>3320</v>
          </cell>
          <cell r="AE24">
            <v>11.171548117154812</v>
          </cell>
          <cell r="AF24">
            <v>2670</v>
          </cell>
          <cell r="AG24">
            <v>14.351464435146443</v>
          </cell>
          <cell r="AH24">
            <v>3430</v>
          </cell>
          <cell r="AI24">
            <v>11.297071129707113</v>
          </cell>
          <cell r="AJ24">
            <v>2700</v>
          </cell>
          <cell r="AK24">
            <v>50</v>
          </cell>
          <cell r="AL24">
            <v>50</v>
          </cell>
          <cell r="AM24">
            <v>0.19</v>
          </cell>
          <cell r="AN24">
            <v>0.24</v>
          </cell>
          <cell r="AO24">
            <v>0.15</v>
          </cell>
          <cell r="AP24">
            <v>0.16999999999999998</v>
          </cell>
          <cell r="AQ24">
            <v>0.32</v>
          </cell>
          <cell r="AR24">
            <v>0.04</v>
          </cell>
          <cell r="AS24" t="str">
            <v>Organic table  (ITAB &amp;AFZ)</v>
          </cell>
        </row>
        <row r="25">
          <cell r="A25" t="str">
            <v>Crepidula</v>
          </cell>
          <cell r="C25" t="str">
            <v xml:space="preserve">Fishmeals and solubles </v>
          </cell>
          <cell r="D25">
            <v>91.300003051757813</v>
          </cell>
          <cell r="E25">
            <v>47.400001525878906</v>
          </cell>
          <cell r="F25">
            <v>0</v>
          </cell>
          <cell r="G25">
            <v>2.5999999046325684</v>
          </cell>
          <cell r="H25">
            <v>20.100000381469727</v>
          </cell>
          <cell r="I25">
            <v>2.6799999237060548</v>
          </cell>
          <cell r="J25">
            <v>1.9700000762939454</v>
          </cell>
          <cell r="K25">
            <v>0.88999996185302732</v>
          </cell>
          <cell r="L25">
            <v>1.4300000190734863</v>
          </cell>
          <cell r="M25">
            <v>0</v>
          </cell>
          <cell r="N25">
            <v>0.55000000000000004</v>
          </cell>
          <cell r="O25">
            <v>13.5</v>
          </cell>
          <cell r="P25">
            <v>7.4000000953674316</v>
          </cell>
          <cell r="Q25">
            <v>6.8000001907348633</v>
          </cell>
          <cell r="R25">
            <v>3</v>
          </cell>
          <cell r="S25">
            <v>1.1000000238418579</v>
          </cell>
          <cell r="T25">
            <v>0</v>
          </cell>
          <cell r="U25">
            <v>0.45999999046325685</v>
          </cell>
          <cell r="V25">
            <v>0</v>
          </cell>
          <cell r="W25">
            <v>0</v>
          </cell>
          <cell r="X25">
            <v>0</v>
          </cell>
          <cell r="Y25">
            <v>0</v>
          </cell>
          <cell r="Z25">
            <v>13.430962343096235</v>
          </cell>
          <cell r="AA25">
            <v>13.430962343096235</v>
          </cell>
          <cell r="AC25">
            <v>12.301255230125523</v>
          </cell>
          <cell r="AD25">
            <v>2940</v>
          </cell>
          <cell r="AE25">
            <v>7.489539748953975</v>
          </cell>
          <cell r="AF25">
            <v>1790</v>
          </cell>
          <cell r="AG25">
            <v>12.259414225941423</v>
          </cell>
          <cell r="AH25">
            <v>2930</v>
          </cell>
          <cell r="AI25">
            <v>7.5732217573221758</v>
          </cell>
          <cell r="AJ25">
            <v>1810</v>
          </cell>
          <cell r="AK25">
            <v>4</v>
          </cell>
          <cell r="AL25">
            <v>15</v>
          </cell>
          <cell r="AS25" t="str">
            <v>Organic table  (ITAB &amp;AFZ)</v>
          </cell>
        </row>
        <row r="26">
          <cell r="A26" t="str">
            <v>Faba Bean (coloured flower)</v>
          </cell>
          <cell r="C26" t="str">
            <v>Legume seeds</v>
          </cell>
          <cell r="D26">
            <v>87.9</v>
          </cell>
          <cell r="E26">
            <v>25.6</v>
          </cell>
          <cell r="F26">
            <v>9.1</v>
          </cell>
          <cell r="G26">
            <v>1.1000000000000001</v>
          </cell>
          <cell r="H26">
            <v>3.4</v>
          </cell>
          <cell r="I26">
            <v>1.67</v>
          </cell>
          <cell r="J26">
            <v>0.91999999999999993</v>
          </cell>
          <cell r="K26">
            <v>0.18</v>
          </cell>
          <cell r="L26">
            <v>0.51</v>
          </cell>
          <cell r="M26">
            <v>0.21000000000000002</v>
          </cell>
          <cell r="N26">
            <v>0.32</v>
          </cell>
          <cell r="O26">
            <v>17.2</v>
          </cell>
          <cell r="P26">
            <v>2.6</v>
          </cell>
          <cell r="Q26">
            <v>25.8</v>
          </cell>
          <cell r="R26">
            <v>49.9</v>
          </cell>
          <cell r="S26">
            <v>3.5</v>
          </cell>
          <cell r="T26">
            <v>0.13</v>
          </cell>
          <cell r="U26">
            <v>0.49000000000000005</v>
          </cell>
          <cell r="V26">
            <v>0.01</v>
          </cell>
          <cell r="W26">
            <v>2.9</v>
          </cell>
          <cell r="X26">
            <v>0.16</v>
          </cell>
          <cell r="Y26">
            <v>1.03</v>
          </cell>
          <cell r="Z26">
            <v>13.347280334728033</v>
          </cell>
          <cell r="AA26">
            <v>9.0794979079497899</v>
          </cell>
          <cell r="AB26">
            <v>1.8</v>
          </cell>
          <cell r="AC26">
            <v>12.635983263598327</v>
          </cell>
          <cell r="AD26">
            <v>3020</v>
          </cell>
          <cell r="AE26">
            <v>8.9121338912133883</v>
          </cell>
          <cell r="AF26">
            <v>2130</v>
          </cell>
          <cell r="AG26">
            <v>12.92887029288703</v>
          </cell>
          <cell r="AH26">
            <v>3090</v>
          </cell>
          <cell r="AI26">
            <v>9.0794979079497899</v>
          </cell>
          <cell r="AJ26">
            <v>2170</v>
          </cell>
          <cell r="AK26">
            <v>15</v>
          </cell>
          <cell r="AL26">
            <v>10</v>
          </cell>
          <cell r="AM26">
            <v>1.41</v>
          </cell>
          <cell r="AN26">
            <v>0.73</v>
          </cell>
          <cell r="AO26">
            <v>0.15</v>
          </cell>
          <cell r="AP26">
            <v>0.24</v>
          </cell>
          <cell r="AQ26">
            <v>0.38</v>
          </cell>
          <cell r="AR26">
            <v>0.15</v>
          </cell>
          <cell r="AS26" t="str">
            <v>Organic table  (ITAB &amp;AFZ)</v>
          </cell>
        </row>
        <row r="27">
          <cell r="A27" t="str">
            <v>Faba Bean (white flower)</v>
          </cell>
          <cell r="C27" t="str">
            <v>Legume seeds</v>
          </cell>
          <cell r="D27">
            <v>84.4</v>
          </cell>
          <cell r="E27">
            <v>24.4</v>
          </cell>
          <cell r="F27">
            <v>8.6</v>
          </cell>
          <cell r="G27">
            <v>1</v>
          </cell>
          <cell r="H27">
            <v>3.4</v>
          </cell>
          <cell r="I27">
            <v>1.6</v>
          </cell>
          <cell r="J27">
            <v>0.86999999999999988</v>
          </cell>
          <cell r="K27">
            <v>0.18</v>
          </cell>
          <cell r="L27">
            <v>0.48</v>
          </cell>
          <cell r="M27">
            <v>0.2</v>
          </cell>
          <cell r="N27">
            <v>0.31</v>
          </cell>
          <cell r="O27">
            <v>17.2</v>
          </cell>
          <cell r="P27">
            <v>2.6</v>
          </cell>
          <cell r="Q27">
            <v>25.8</v>
          </cell>
          <cell r="R27">
            <v>49.9</v>
          </cell>
          <cell r="S27">
            <v>3.5</v>
          </cell>
          <cell r="T27">
            <v>0.13</v>
          </cell>
          <cell r="U27">
            <v>0.47000000000000003</v>
          </cell>
          <cell r="V27">
            <v>7.000000000000001E-3</v>
          </cell>
          <cell r="W27">
            <v>2.8</v>
          </cell>
          <cell r="X27">
            <v>0.16999999999999998</v>
          </cell>
          <cell r="Y27">
            <v>1.01</v>
          </cell>
          <cell r="Z27">
            <v>13.472803347280335</v>
          </cell>
          <cell r="AA27">
            <v>9.0794979079497899</v>
          </cell>
          <cell r="AB27">
            <v>1.8</v>
          </cell>
          <cell r="AC27">
            <v>0</v>
          </cell>
          <cell r="AD27">
            <v>0</v>
          </cell>
          <cell r="AE27">
            <v>8.95397489539749</v>
          </cell>
          <cell r="AF27">
            <v>2140</v>
          </cell>
          <cell r="AG27">
            <v>13.765690376569038</v>
          </cell>
          <cell r="AH27">
            <v>3290</v>
          </cell>
          <cell r="AI27">
            <v>12.92887029288703</v>
          </cell>
          <cell r="AJ27">
            <v>3090</v>
          </cell>
          <cell r="AK27">
            <v>15</v>
          </cell>
          <cell r="AL27">
            <v>10</v>
          </cell>
          <cell r="AM27">
            <v>1.42</v>
          </cell>
          <cell r="AN27">
            <v>0.73</v>
          </cell>
          <cell r="AO27">
            <v>0.15</v>
          </cell>
          <cell r="AP27">
            <v>0.24</v>
          </cell>
          <cell r="AQ27">
            <v>0.39</v>
          </cell>
          <cell r="AR27">
            <v>0.15</v>
          </cell>
          <cell r="AS27" t="str">
            <v>Tarasenko N. A, Butina E. A, Gerasimenko E. O. Peculiarities of chemical composition of sainfoin seeds powder. Orient J Chem 2015;31(3) and ICOPP MTT</v>
          </cell>
        </row>
        <row r="28">
          <cell r="A28" t="str">
            <v>Fodder beet</v>
          </cell>
          <cell r="C28" t="str">
            <v>9.Individual component with low DM</v>
          </cell>
          <cell r="D28">
            <v>16.100000000000001</v>
          </cell>
          <cell r="E28">
            <v>1.3</v>
          </cell>
          <cell r="F28">
            <v>1</v>
          </cell>
          <cell r="G28">
            <v>7.0000000000000007E-2</v>
          </cell>
          <cell r="H28">
            <v>1.7</v>
          </cell>
          <cell r="I28">
            <v>7.0000000000000007E-2</v>
          </cell>
          <cell r="J28">
            <v>0.06</v>
          </cell>
          <cell r="K28">
            <v>0.02</v>
          </cell>
          <cell r="L28">
            <v>0.04</v>
          </cell>
          <cell r="M28">
            <v>0.02</v>
          </cell>
          <cell r="N28">
            <v>0.01</v>
          </cell>
          <cell r="O28">
            <v>0.06</v>
          </cell>
          <cell r="P28">
            <v>0</v>
          </cell>
          <cell r="Q28">
            <v>0.03</v>
          </cell>
          <cell r="R28">
            <v>0.2</v>
          </cell>
          <cell r="S28">
            <v>0.03</v>
          </cell>
          <cell r="T28">
            <v>0.09</v>
          </cell>
          <cell r="U28">
            <v>0.04</v>
          </cell>
          <cell r="V28">
            <v>0.11</v>
          </cell>
          <cell r="W28">
            <v>0.04</v>
          </cell>
          <cell r="X28">
            <v>0.06</v>
          </cell>
          <cell r="Y28">
            <v>0.5</v>
          </cell>
          <cell r="Z28">
            <v>2.1</v>
          </cell>
          <cell r="AA28">
            <v>2.2999999999999998</v>
          </cell>
          <cell r="AB28">
            <v>0.1</v>
          </cell>
          <cell r="AC28">
            <v>2.1</v>
          </cell>
          <cell r="AD28">
            <v>490</v>
          </cell>
          <cell r="AE28">
            <v>1.4</v>
          </cell>
          <cell r="AF28">
            <v>360</v>
          </cell>
          <cell r="AG28">
            <v>1.4</v>
          </cell>
          <cell r="AH28">
            <v>490</v>
          </cell>
          <cell r="AI28">
            <v>1.5</v>
          </cell>
          <cell r="AJ28">
            <v>340</v>
          </cell>
          <cell r="AM28">
            <v>0.06</v>
          </cell>
          <cell r="AN28">
            <v>0.05</v>
          </cell>
          <cell r="AO28">
            <v>0.02</v>
          </cell>
          <cell r="AP28">
            <v>0.01</v>
          </cell>
          <cell r="AQ28">
            <v>0.03</v>
          </cell>
          <cell r="AR28">
            <v>0.01</v>
          </cell>
          <cell r="AS28" t="str">
            <v>INRA table</v>
          </cell>
        </row>
        <row r="29">
          <cell r="A29" t="str">
            <v>Grass pea</v>
          </cell>
          <cell r="C29" t="str">
            <v>Legume seeds</v>
          </cell>
          <cell r="D29">
            <v>87.9</v>
          </cell>
          <cell r="E29">
            <v>24.2</v>
          </cell>
          <cell r="F29">
            <v>6.6</v>
          </cell>
          <cell r="G29">
            <v>0.7</v>
          </cell>
          <cell r="H29">
            <v>3.1</v>
          </cell>
          <cell r="I29">
            <v>0.60199999999999998</v>
          </cell>
          <cell r="J29">
            <v>0.33999999999999997</v>
          </cell>
          <cell r="K29">
            <v>0.09</v>
          </cell>
          <cell r="L29">
            <v>0.26</v>
          </cell>
          <cell r="M29">
            <v>0.09</v>
          </cell>
          <cell r="N29">
            <v>0.16999999999999998</v>
          </cell>
          <cell r="O29">
            <v>10.7</v>
          </cell>
          <cell r="P29">
            <v>8.89</v>
          </cell>
          <cell r="Q29">
            <v>19.399999999999999</v>
          </cell>
          <cell r="R29">
            <v>50.4</v>
          </cell>
          <cell r="S29">
            <v>6.78</v>
          </cell>
          <cell r="T29">
            <v>0.03</v>
          </cell>
          <cell r="U29">
            <v>0.04</v>
          </cell>
          <cell r="V29">
            <v>0.03</v>
          </cell>
          <cell r="W29">
            <v>2.2999999999999998</v>
          </cell>
          <cell r="X29">
            <v>0.12</v>
          </cell>
          <cell r="Y29">
            <v>0.91999999999999993</v>
          </cell>
          <cell r="Z29">
            <v>0</v>
          </cell>
          <cell r="AA29">
            <v>0</v>
          </cell>
          <cell r="AC29">
            <v>0</v>
          </cell>
          <cell r="AD29">
            <v>0</v>
          </cell>
          <cell r="AE29">
            <v>0</v>
          </cell>
          <cell r="AF29">
            <v>0</v>
          </cell>
          <cell r="AG29">
            <v>0</v>
          </cell>
          <cell r="AH29">
            <v>0</v>
          </cell>
          <cell r="AI29">
            <v>0</v>
          </cell>
          <cell r="AJ29">
            <v>0</v>
          </cell>
          <cell r="AK29">
            <v>10</v>
          </cell>
          <cell r="AL29">
            <v>15</v>
          </cell>
          <cell r="AM29">
            <v>0</v>
          </cell>
          <cell r="AN29">
            <v>0</v>
          </cell>
          <cell r="AO29">
            <v>0</v>
          </cell>
          <cell r="AP29">
            <v>0</v>
          </cell>
          <cell r="AQ29">
            <v>0</v>
          </cell>
          <cell r="AR29">
            <v>0</v>
          </cell>
          <cell r="AS29" t="str">
            <v>INRA table 2002</v>
          </cell>
        </row>
        <row r="30">
          <cell r="A30" t="str">
            <v>Hemp cake</v>
          </cell>
          <cell r="C30" t="str">
            <v>Oilseeds (Cake)</v>
          </cell>
          <cell r="D30">
            <v>90.4</v>
          </cell>
          <cell r="E30">
            <v>30.4</v>
          </cell>
          <cell r="F30">
            <v>28.4</v>
          </cell>
          <cell r="G30">
            <v>11.1</v>
          </cell>
          <cell r="H30">
            <v>6.1</v>
          </cell>
          <cell r="I30">
            <v>1.04</v>
          </cell>
          <cell r="J30">
            <v>1.08</v>
          </cell>
          <cell r="K30">
            <v>0.7</v>
          </cell>
          <cell r="L30">
            <v>1.22</v>
          </cell>
          <cell r="M30">
            <v>0.3</v>
          </cell>
          <cell r="N30">
            <v>0.52</v>
          </cell>
          <cell r="O30">
            <v>6.6</v>
          </cell>
          <cell r="P30">
            <v>2.5</v>
          </cell>
          <cell r="Q30">
            <v>11.9</v>
          </cell>
          <cell r="R30">
            <v>55.1</v>
          </cell>
          <cell r="S30">
            <v>21.4</v>
          </cell>
          <cell r="T30">
            <v>0.26</v>
          </cell>
          <cell r="U30">
            <v>0.95</v>
          </cell>
          <cell r="V30">
            <v>6.2E-2</v>
          </cell>
          <cell r="W30">
            <v>5.7</v>
          </cell>
          <cell r="X30">
            <v>0</v>
          </cell>
          <cell r="Y30">
            <v>0</v>
          </cell>
          <cell r="Z30">
            <v>11.04602510460251</v>
          </cell>
          <cell r="AA30">
            <v>12.259414225941423</v>
          </cell>
          <cell r="AB30">
            <v>3.1</v>
          </cell>
          <cell r="AC30">
            <v>10.209205020920502</v>
          </cell>
          <cell r="AD30">
            <v>2440</v>
          </cell>
          <cell r="AE30">
            <v>6.6108786610878658</v>
          </cell>
          <cell r="AF30">
            <v>1580</v>
          </cell>
          <cell r="AG30">
            <v>11.213389121338912</v>
          </cell>
          <cell r="AH30">
            <v>2680</v>
          </cell>
          <cell r="AI30">
            <v>7.1548117154811717</v>
          </cell>
          <cell r="AJ30">
            <v>1710</v>
          </cell>
          <cell r="AK30">
            <v>20</v>
          </cell>
          <cell r="AL30">
            <v>25</v>
          </cell>
          <cell r="AM30">
            <v>0.88000000000000012</v>
          </cell>
          <cell r="AN30">
            <v>0.89</v>
          </cell>
          <cell r="AO30">
            <v>0.64</v>
          </cell>
          <cell r="AP30">
            <v>0.41</v>
          </cell>
          <cell r="AQ30">
            <v>1.06</v>
          </cell>
          <cell r="AR30">
            <v>0</v>
          </cell>
          <cell r="AS30" t="str">
            <v>Frech table</v>
          </cell>
        </row>
        <row r="31">
          <cell r="A31" t="str">
            <v>Linseed meal, oil &gt; 5%</v>
          </cell>
          <cell r="C31" t="str">
            <v>Oilseeds (Cake)</v>
          </cell>
          <cell r="D31">
            <v>90.400001525878906</v>
          </cell>
          <cell r="E31">
            <v>33.400001525878906</v>
          </cell>
          <cell r="F31">
            <v>7.4000000953674316</v>
          </cell>
          <cell r="G31">
            <v>12.800000190734863</v>
          </cell>
          <cell r="H31">
            <v>4.8000001907348633</v>
          </cell>
          <cell r="I31">
            <v>1.3100000381469727</v>
          </cell>
          <cell r="J31">
            <v>1.2699999809265137</v>
          </cell>
          <cell r="K31">
            <v>0.63000001907348635</v>
          </cell>
          <cell r="L31">
            <v>1.25</v>
          </cell>
          <cell r="M31">
            <v>0.5</v>
          </cell>
          <cell r="N31">
            <v>0.61999998092651365</v>
          </cell>
          <cell r="O31">
            <v>5.5999999046325684</v>
          </cell>
          <cell r="P31">
            <v>4.4000000953674316</v>
          </cell>
          <cell r="Q31">
            <v>20.200000762939453</v>
          </cell>
          <cell r="R31">
            <v>14.699999809265137</v>
          </cell>
          <cell r="S31">
            <v>53.799999237060547</v>
          </cell>
          <cell r="T31">
            <v>0.39000000953674319</v>
          </cell>
          <cell r="U31">
            <v>0.83999996185302739</v>
          </cell>
          <cell r="V31">
            <v>6.200000047683716E-2</v>
          </cell>
          <cell r="W31">
            <v>5.5</v>
          </cell>
          <cell r="X31">
            <v>0.46999998092651368</v>
          </cell>
          <cell r="Y31">
            <v>1.0199999809265137</v>
          </cell>
          <cell r="Z31">
            <v>15.857740585774058</v>
          </cell>
          <cell r="AA31">
            <v>16.317991631799163</v>
          </cell>
          <cell r="AB31">
            <v>6.3</v>
          </cell>
          <cell r="AC31">
            <v>14.769874476987448</v>
          </cell>
          <cell r="AD31">
            <v>3530</v>
          </cell>
          <cell r="AE31">
            <v>10.292887029288703</v>
          </cell>
          <cell r="AF31">
            <v>2460</v>
          </cell>
          <cell r="AG31">
            <v>15.06276150627615</v>
          </cell>
          <cell r="AH31">
            <v>3600</v>
          </cell>
          <cell r="AI31">
            <v>10.585774058577407</v>
          </cell>
          <cell r="AJ31">
            <v>2530</v>
          </cell>
          <cell r="AK31">
            <v>0</v>
          </cell>
          <cell r="AL31">
            <v>10</v>
          </cell>
          <cell r="AM31">
            <v>10.199999809265137</v>
          </cell>
          <cell r="AN31">
            <v>9.8999996185302734</v>
          </cell>
          <cell r="AO31">
            <v>5.6999998092651367</v>
          </cell>
          <cell r="AP31">
            <v>4.9000000953674316</v>
          </cell>
          <cell r="AQ31">
            <v>10.5</v>
          </cell>
          <cell r="AR31">
            <v>4.3000001907348633</v>
          </cell>
          <cell r="AS31" t="str">
            <v>Organic table  (ITAB &amp;AFZ)</v>
          </cell>
        </row>
        <row r="32">
          <cell r="A32" t="str">
            <v>Lithotamne</v>
          </cell>
          <cell r="C32" t="str">
            <v>Minerals</v>
          </cell>
          <cell r="I32">
            <v>0</v>
          </cell>
          <cell r="J32">
            <v>0</v>
          </cell>
          <cell r="K32">
            <v>0</v>
          </cell>
          <cell r="L32">
            <v>0</v>
          </cell>
          <cell r="M32">
            <v>0</v>
          </cell>
          <cell r="N32">
            <v>0</v>
          </cell>
          <cell r="O32">
            <v>0</v>
          </cell>
          <cell r="P32">
            <v>0</v>
          </cell>
          <cell r="Q32">
            <v>0</v>
          </cell>
          <cell r="R32">
            <v>0</v>
          </cell>
          <cell r="S32">
            <v>0</v>
          </cell>
          <cell r="T32">
            <v>33</v>
          </cell>
          <cell r="U32">
            <v>0</v>
          </cell>
          <cell r="V32">
            <v>0</v>
          </cell>
          <cell r="X32">
            <v>3.3</v>
          </cell>
          <cell r="Y32">
            <v>0</v>
          </cell>
          <cell r="Z32">
            <v>0</v>
          </cell>
          <cell r="AA32">
            <v>0</v>
          </cell>
          <cell r="AC32">
            <v>0</v>
          </cell>
          <cell r="AD32">
            <v>0</v>
          </cell>
          <cell r="AE32">
            <v>0</v>
          </cell>
          <cell r="AF32">
            <v>0</v>
          </cell>
          <cell r="AG32">
            <v>0</v>
          </cell>
          <cell r="AH32">
            <v>0</v>
          </cell>
          <cell r="AI32">
            <v>0</v>
          </cell>
          <cell r="AJ32">
            <v>0</v>
          </cell>
          <cell r="AK32">
            <v>5</v>
          </cell>
          <cell r="AL32">
            <v>5</v>
          </cell>
          <cell r="AM32">
            <v>0</v>
          </cell>
          <cell r="AN32">
            <v>0</v>
          </cell>
          <cell r="AO32">
            <v>0</v>
          </cell>
          <cell r="AP32">
            <v>0</v>
          </cell>
          <cell r="AQ32">
            <v>0</v>
          </cell>
          <cell r="AR32">
            <v>0</v>
          </cell>
        </row>
        <row r="33">
          <cell r="A33" t="str">
            <v>Molasses</v>
          </cell>
          <cell r="C33" t="str">
            <v xml:space="preserve"> Other plant product</v>
          </cell>
          <cell r="D33">
            <v>75.5</v>
          </cell>
          <cell r="E33">
            <v>10.7</v>
          </cell>
          <cell r="F33">
            <v>0</v>
          </cell>
          <cell r="G33">
            <v>0.2</v>
          </cell>
          <cell r="H33">
            <v>9.6</v>
          </cell>
          <cell r="I33">
            <v>0.16</v>
          </cell>
          <cell r="J33">
            <v>6.9999999999999993E-2</v>
          </cell>
          <cell r="K33">
            <v>0.02</v>
          </cell>
          <cell r="L33">
            <v>0.09</v>
          </cell>
          <cell r="M33">
            <v>0.08</v>
          </cell>
          <cell r="N33">
            <v>6.9999999999999993E-2</v>
          </cell>
          <cell r="T33">
            <v>0.09</v>
          </cell>
          <cell r="U33">
            <v>0.02</v>
          </cell>
          <cell r="V33">
            <v>0.52100000000000002</v>
          </cell>
          <cell r="W33">
            <v>0.02</v>
          </cell>
          <cell r="X33">
            <v>0.02</v>
          </cell>
          <cell r="Y33">
            <v>0</v>
          </cell>
          <cell r="Z33">
            <v>9.9163179916317983</v>
          </cell>
          <cell r="AA33">
            <v>10.209205020920502</v>
          </cell>
          <cell r="AB33">
            <v>0.2</v>
          </cell>
          <cell r="AC33">
            <v>9.6234309623430967</v>
          </cell>
          <cell r="AD33">
            <v>2300</v>
          </cell>
          <cell r="AE33">
            <v>6.6108786610878658</v>
          </cell>
          <cell r="AF33">
            <v>1580</v>
          </cell>
          <cell r="AG33">
            <v>9.9163179916317983</v>
          </cell>
          <cell r="AH33">
            <v>2370</v>
          </cell>
          <cell r="AI33">
            <v>6.8200836820083683</v>
          </cell>
          <cell r="AJ33">
            <v>1630</v>
          </cell>
          <cell r="AK33">
            <v>5</v>
          </cell>
          <cell r="AL33">
            <v>5</v>
          </cell>
          <cell r="AM33">
            <v>0.15</v>
          </cell>
          <cell r="AN33">
            <v>0.06</v>
          </cell>
          <cell r="AO33">
            <v>0.02</v>
          </cell>
          <cell r="AP33">
            <v>7.0000000000000007E-2</v>
          </cell>
          <cell r="AQ33">
            <v>0.09</v>
          </cell>
          <cell r="AR33">
            <v>0.08</v>
          </cell>
          <cell r="AS33" t="str">
            <v>INRA feed table *02</v>
          </cell>
        </row>
        <row r="34">
          <cell r="A34" t="str">
            <v>Monocalcic phosphate</v>
          </cell>
          <cell r="C34" t="str">
            <v>Minerals</v>
          </cell>
          <cell r="D34">
            <v>98.5</v>
          </cell>
          <cell r="H34">
            <v>80.2</v>
          </cell>
          <cell r="I34">
            <v>0</v>
          </cell>
          <cell r="J34">
            <v>0</v>
          </cell>
          <cell r="K34">
            <v>0</v>
          </cell>
          <cell r="L34">
            <v>0</v>
          </cell>
          <cell r="M34">
            <v>0</v>
          </cell>
          <cell r="N34">
            <v>0</v>
          </cell>
          <cell r="O34">
            <v>0</v>
          </cell>
          <cell r="P34">
            <v>0</v>
          </cell>
          <cell r="Q34">
            <v>0</v>
          </cell>
          <cell r="R34">
            <v>0</v>
          </cell>
          <cell r="S34">
            <v>0</v>
          </cell>
          <cell r="T34">
            <v>16.7</v>
          </cell>
          <cell r="U34">
            <v>22.4</v>
          </cell>
          <cell r="V34">
            <v>7.0000000000000007E-2</v>
          </cell>
          <cell r="X34">
            <v>0.48</v>
          </cell>
          <cell r="Y34">
            <v>0.23</v>
          </cell>
          <cell r="Z34">
            <v>0</v>
          </cell>
          <cell r="AA34">
            <v>0</v>
          </cell>
          <cell r="AC34">
            <v>0</v>
          </cell>
          <cell r="AD34">
            <v>0</v>
          </cell>
          <cell r="AE34">
            <v>0</v>
          </cell>
          <cell r="AF34">
            <v>0</v>
          </cell>
          <cell r="AG34">
            <v>0</v>
          </cell>
          <cell r="AH34">
            <v>0</v>
          </cell>
          <cell r="AI34">
            <v>0</v>
          </cell>
          <cell r="AJ34">
            <v>0</v>
          </cell>
          <cell r="AK34">
            <v>5</v>
          </cell>
          <cell r="AL34">
            <v>5</v>
          </cell>
          <cell r="AM34">
            <v>0</v>
          </cell>
          <cell r="AN34">
            <v>0</v>
          </cell>
          <cell r="AO34">
            <v>0</v>
          </cell>
          <cell r="AP34">
            <v>0</v>
          </cell>
          <cell r="AQ34">
            <v>0</v>
          </cell>
          <cell r="AR34">
            <v>0</v>
          </cell>
          <cell r="AS34" t="str">
            <v>INRA table 2002</v>
          </cell>
        </row>
        <row r="35">
          <cell r="A35" t="str">
            <v>Oat</v>
          </cell>
          <cell r="B35" t="str">
            <v>Avoine</v>
          </cell>
          <cell r="C35" t="str">
            <v xml:space="preserve"> Cereals</v>
          </cell>
          <cell r="D35">
            <v>87.800003051757798</v>
          </cell>
          <cell r="E35">
            <v>9.3999996185302734</v>
          </cell>
          <cell r="F35">
            <v>11.199999809265137</v>
          </cell>
          <cell r="G35">
            <v>4.5999999046325684</v>
          </cell>
          <cell r="H35">
            <v>2.5999999046325684</v>
          </cell>
          <cell r="I35">
            <v>0.39000000953674319</v>
          </cell>
          <cell r="J35">
            <v>0.32999999523162843</v>
          </cell>
          <cell r="K35">
            <v>0.17000000476837157</v>
          </cell>
          <cell r="L35">
            <v>0.48000001907348633</v>
          </cell>
          <cell r="M35">
            <v>0.12000000476837158</v>
          </cell>
          <cell r="N35">
            <v>0.30999999046325682</v>
          </cell>
          <cell r="O35">
            <v>16.5</v>
          </cell>
          <cell r="P35">
            <v>1.2000000476837158</v>
          </cell>
          <cell r="Q35">
            <v>38.599998474121094</v>
          </cell>
          <cell r="R35">
            <v>40.900001525878906</v>
          </cell>
          <cell r="S35">
            <v>1.6000000238418579</v>
          </cell>
          <cell r="T35">
            <v>0.1</v>
          </cell>
          <cell r="U35">
            <v>0.32000000476837159</v>
          </cell>
          <cell r="V35">
            <v>1.2E-2</v>
          </cell>
          <cell r="W35">
            <v>1.8999999761581421</v>
          </cell>
          <cell r="X35">
            <v>8.9999997615814203E-2</v>
          </cell>
          <cell r="Y35">
            <v>0.45</v>
          </cell>
          <cell r="Z35">
            <v>11.338912133891213</v>
          </cell>
          <cell r="AA35">
            <v>11.96652719665272</v>
          </cell>
          <cell r="AB35">
            <v>1</v>
          </cell>
          <cell r="AC35">
            <v>10.92050209205021</v>
          </cell>
          <cell r="AD35">
            <v>2610</v>
          </cell>
          <cell r="AE35">
            <v>8.1589958158995817</v>
          </cell>
          <cell r="AF35">
            <v>1950</v>
          </cell>
          <cell r="AG35">
            <v>11.380753138075313</v>
          </cell>
          <cell r="AH35">
            <v>2720</v>
          </cell>
          <cell r="AI35">
            <v>8.535564853556485</v>
          </cell>
          <cell r="AJ35">
            <v>2040</v>
          </cell>
          <cell r="AK35">
            <v>10</v>
          </cell>
          <cell r="AL35">
            <v>15</v>
          </cell>
          <cell r="AM35">
            <v>0.29000000953674315</v>
          </cell>
          <cell r="AN35">
            <v>0.22999999523162842</v>
          </cell>
          <cell r="AO35">
            <v>0.13999999761581422</v>
          </cell>
          <cell r="AP35">
            <v>0.22999999523162842</v>
          </cell>
          <cell r="AQ35">
            <v>0.37999999523162842</v>
          </cell>
          <cell r="AR35">
            <v>8.9999997615814203E-2</v>
          </cell>
          <cell r="AS35" t="str">
            <v>Organic table  (ITAB &amp;AFZ)</v>
          </cell>
        </row>
        <row r="36">
          <cell r="A36" t="str">
            <v>Oat dehulled</v>
          </cell>
          <cell r="B36" t="str">
            <v>Avoine décortiqué</v>
          </cell>
          <cell r="C36" t="str">
            <v xml:space="preserve"> Cereals</v>
          </cell>
          <cell r="D36">
            <v>85.7</v>
          </cell>
          <cell r="E36">
            <v>11.1</v>
          </cell>
          <cell r="F36">
            <v>3.9</v>
          </cell>
          <cell r="G36">
            <v>2.6</v>
          </cell>
          <cell r="H36">
            <v>2.1</v>
          </cell>
          <cell r="I36">
            <v>0.45999999999999996</v>
          </cell>
          <cell r="J36">
            <v>0.39</v>
          </cell>
          <cell r="K36">
            <v>0.19</v>
          </cell>
          <cell r="L36">
            <v>0.54</v>
          </cell>
          <cell r="M36">
            <v>0.13999999999999999</v>
          </cell>
          <cell r="N36">
            <v>0.35</v>
          </cell>
          <cell r="O36">
            <v>3.9</v>
          </cell>
          <cell r="P36">
            <v>0.3</v>
          </cell>
          <cell r="Q36">
            <v>8.8000000000000007</v>
          </cell>
          <cell r="R36">
            <v>8.9</v>
          </cell>
          <cell r="S36">
            <v>0.4</v>
          </cell>
          <cell r="T36">
            <v>0.09</v>
          </cell>
          <cell r="U36">
            <v>0.28999999999999998</v>
          </cell>
          <cell r="V36">
            <v>1.2E-2</v>
          </cell>
          <cell r="W36">
            <v>1.6</v>
          </cell>
          <cell r="X36">
            <v>0.09</v>
          </cell>
          <cell r="Y36">
            <v>0.45</v>
          </cell>
          <cell r="Z36">
            <v>13.514644351464435</v>
          </cell>
          <cell r="AA36">
            <v>11.96652719665272</v>
          </cell>
          <cell r="AB36">
            <v>0.9</v>
          </cell>
          <cell r="AC36">
            <v>13.05439330543933</v>
          </cell>
          <cell r="AD36">
            <v>3120</v>
          </cell>
          <cell r="AE36">
            <v>10.0418410041841</v>
          </cell>
          <cell r="AF36">
            <v>2400</v>
          </cell>
          <cell r="AG36">
            <v>13.263598326359833</v>
          </cell>
          <cell r="AH36">
            <v>3170</v>
          </cell>
          <cell r="AI36">
            <v>10.209205020920502</v>
          </cell>
          <cell r="AJ36">
            <v>2440</v>
          </cell>
          <cell r="AK36">
            <v>10</v>
          </cell>
          <cell r="AL36">
            <v>15</v>
          </cell>
          <cell r="AM36">
            <v>0.36</v>
          </cell>
          <cell r="AN36">
            <v>0.31</v>
          </cell>
          <cell r="AO36">
            <v>0.16</v>
          </cell>
          <cell r="AP36">
            <v>0.28999999999999998</v>
          </cell>
          <cell r="AQ36">
            <v>0.45999999999999996</v>
          </cell>
          <cell r="AR36">
            <v>0.11000000000000001</v>
          </cell>
          <cell r="AS36" t="str">
            <v>INRA feed table 2002</v>
          </cell>
        </row>
        <row r="37">
          <cell r="A37" t="str">
            <v>Oat withtout hull</v>
          </cell>
          <cell r="B37" t="str">
            <v>Avoine nue</v>
          </cell>
          <cell r="C37" t="str">
            <v xml:space="preserve"> Cereals</v>
          </cell>
          <cell r="D37">
            <v>87.6</v>
          </cell>
          <cell r="E37">
            <v>9.4</v>
          </cell>
          <cell r="F37">
            <v>11.6</v>
          </cell>
          <cell r="G37">
            <v>4.7</v>
          </cell>
          <cell r="H37">
            <v>2.5</v>
          </cell>
          <cell r="I37">
            <v>0.4</v>
          </cell>
          <cell r="J37">
            <v>0.32999999999999996</v>
          </cell>
          <cell r="K37">
            <v>0.16999999999999998</v>
          </cell>
          <cell r="L37">
            <v>0.49000000000000005</v>
          </cell>
          <cell r="M37">
            <v>0.12</v>
          </cell>
          <cell r="N37">
            <v>0.31</v>
          </cell>
          <cell r="O37">
            <v>16.600000000000001</v>
          </cell>
          <cell r="P37">
            <v>1.2</v>
          </cell>
          <cell r="Q37">
            <v>37.1</v>
          </cell>
          <cell r="R37">
            <v>37.5</v>
          </cell>
          <cell r="S37">
            <v>1.5</v>
          </cell>
          <cell r="T37">
            <v>0.1</v>
          </cell>
          <cell r="U37">
            <v>0.31</v>
          </cell>
          <cell r="V37">
            <v>1.2E-2</v>
          </cell>
          <cell r="W37">
            <v>1.7</v>
          </cell>
          <cell r="X37">
            <v>0.09</v>
          </cell>
          <cell r="Y37">
            <v>0.45</v>
          </cell>
          <cell r="Z37">
            <v>13.514644351464435</v>
          </cell>
          <cell r="AA37">
            <v>11.96652719665272</v>
          </cell>
          <cell r="AB37">
            <v>1.1000000000000001</v>
          </cell>
          <cell r="AC37">
            <v>13.05439330543933</v>
          </cell>
          <cell r="AD37">
            <v>3120</v>
          </cell>
          <cell r="AE37">
            <v>10.0418410041841</v>
          </cell>
          <cell r="AF37">
            <v>2400</v>
          </cell>
          <cell r="AG37">
            <v>13.263598326359833</v>
          </cell>
          <cell r="AH37">
            <v>3170</v>
          </cell>
          <cell r="AI37">
            <v>10.209205020920502</v>
          </cell>
          <cell r="AJ37">
            <v>2440</v>
          </cell>
          <cell r="AK37">
            <v>10</v>
          </cell>
          <cell r="AL37">
            <v>15</v>
          </cell>
          <cell r="AM37">
            <v>0.36</v>
          </cell>
          <cell r="AN37">
            <v>0.31</v>
          </cell>
          <cell r="AO37">
            <v>0.16</v>
          </cell>
          <cell r="AP37">
            <v>0.28999999999999998</v>
          </cell>
          <cell r="AQ37">
            <v>0.45999999999999996</v>
          </cell>
          <cell r="AR37">
            <v>0.11000000000000001</v>
          </cell>
          <cell r="AS37" t="str">
            <v>INRA feed table 2002</v>
          </cell>
        </row>
        <row r="38">
          <cell r="A38" t="str">
            <v>Okara, fat &gt; 5%</v>
          </cell>
          <cell r="C38" t="str">
            <v xml:space="preserve">Other plant product </v>
          </cell>
          <cell r="D38">
            <v>94.400001525878906</v>
          </cell>
          <cell r="E38">
            <v>30.700000762939453</v>
          </cell>
          <cell r="F38">
            <v>10</v>
          </cell>
          <cell r="G38">
            <v>11.699999809265137</v>
          </cell>
          <cell r="H38">
            <v>4.3000001907348633</v>
          </cell>
          <cell r="I38">
            <v>1.7899999618530273</v>
          </cell>
          <cell r="J38">
            <v>1.3100000381469727</v>
          </cell>
          <cell r="K38">
            <v>0.44000000953674318</v>
          </cell>
          <cell r="L38">
            <v>0.86999998092651365</v>
          </cell>
          <cell r="M38">
            <v>0.41999998092651369</v>
          </cell>
          <cell r="N38">
            <v>0.43000001907348634</v>
          </cell>
          <cell r="O38">
            <v>11.199999809265137</v>
          </cell>
          <cell r="P38">
            <v>3.7999999523162842</v>
          </cell>
          <cell r="Q38">
            <v>23.100000381469727</v>
          </cell>
          <cell r="R38">
            <v>54</v>
          </cell>
          <cell r="S38">
            <v>7.1999998092651367</v>
          </cell>
          <cell r="T38">
            <v>0.35</v>
          </cell>
          <cell r="U38">
            <v>0.51999998092651367</v>
          </cell>
          <cell r="V38">
            <v>0</v>
          </cell>
          <cell r="W38">
            <v>3.0999999046325684</v>
          </cell>
          <cell r="X38">
            <v>0</v>
          </cell>
          <cell r="Y38">
            <v>0</v>
          </cell>
          <cell r="Z38">
            <v>16.527196652719667</v>
          </cell>
          <cell r="AA38">
            <v>17.782426778242677</v>
          </cell>
          <cell r="AC38">
            <v>15.564853556485355</v>
          </cell>
          <cell r="AD38">
            <v>3720</v>
          </cell>
          <cell r="AE38">
            <v>10.96234309623431</v>
          </cell>
          <cell r="AF38">
            <v>2620</v>
          </cell>
          <cell r="AG38">
            <v>16.652719665271967</v>
          </cell>
          <cell r="AH38">
            <v>3980</v>
          </cell>
          <cell r="AI38">
            <v>11.715481171548117</v>
          </cell>
          <cell r="AJ38">
            <v>2800</v>
          </cell>
          <cell r="AK38">
            <v>25</v>
          </cell>
          <cell r="AS38" t="str">
            <v>Organic table  (ITAB &amp;AFZ)</v>
          </cell>
        </row>
        <row r="39">
          <cell r="A39" t="str">
            <v>Oyster shells</v>
          </cell>
          <cell r="C39" t="str">
            <v>Minerals</v>
          </cell>
          <cell r="D39">
            <v>99.6</v>
          </cell>
          <cell r="H39">
            <v>95.8</v>
          </cell>
          <cell r="I39">
            <v>0</v>
          </cell>
          <cell r="J39">
            <v>0</v>
          </cell>
          <cell r="K39">
            <v>0</v>
          </cell>
          <cell r="L39">
            <v>0</v>
          </cell>
          <cell r="M39">
            <v>0</v>
          </cell>
          <cell r="N39">
            <v>0</v>
          </cell>
          <cell r="O39">
            <v>0</v>
          </cell>
          <cell r="P39">
            <v>0</v>
          </cell>
          <cell r="Q39">
            <v>0</v>
          </cell>
          <cell r="R39">
            <v>0</v>
          </cell>
          <cell r="S39">
            <v>0</v>
          </cell>
          <cell r="T39">
            <v>35</v>
          </cell>
          <cell r="U39">
            <v>0</v>
          </cell>
          <cell r="V39">
            <v>5.2</v>
          </cell>
          <cell r="X39">
            <v>1.01</v>
          </cell>
          <cell r="Y39">
            <v>0</v>
          </cell>
          <cell r="Z39">
            <v>0</v>
          </cell>
          <cell r="AA39">
            <v>0</v>
          </cell>
          <cell r="AC39">
            <v>0</v>
          </cell>
          <cell r="AD39">
            <v>0</v>
          </cell>
          <cell r="AE39">
            <v>0</v>
          </cell>
          <cell r="AF39">
            <v>0</v>
          </cell>
          <cell r="AG39">
            <v>0</v>
          </cell>
          <cell r="AH39">
            <v>0</v>
          </cell>
          <cell r="AI39">
            <v>0</v>
          </cell>
          <cell r="AJ39">
            <v>0</v>
          </cell>
          <cell r="AK39">
            <v>5</v>
          </cell>
          <cell r="AL39">
            <v>5</v>
          </cell>
          <cell r="AM39">
            <v>0</v>
          </cell>
          <cell r="AN39">
            <v>0</v>
          </cell>
          <cell r="AO39">
            <v>0</v>
          </cell>
          <cell r="AP39">
            <v>0</v>
          </cell>
          <cell r="AQ39">
            <v>0</v>
          </cell>
          <cell r="AR39">
            <v>0</v>
          </cell>
          <cell r="AS39" t="str">
            <v>INRA table 2002</v>
          </cell>
        </row>
        <row r="40">
          <cell r="A40" t="str">
            <v>Pea (white)</v>
          </cell>
          <cell r="C40" t="str">
            <v>Legume seeds</v>
          </cell>
          <cell r="D40">
            <v>87.5</v>
          </cell>
          <cell r="E40">
            <v>20.7</v>
          </cell>
          <cell r="F40">
            <v>6.1</v>
          </cell>
          <cell r="G40">
            <v>1.2</v>
          </cell>
          <cell r="H40">
            <v>3</v>
          </cell>
          <cell r="I40">
            <v>1.51</v>
          </cell>
          <cell r="J40">
            <v>0.79</v>
          </cell>
          <cell r="K40">
            <v>0.2</v>
          </cell>
          <cell r="L40">
            <v>0.48</v>
          </cell>
          <cell r="M40">
            <v>0.18</v>
          </cell>
          <cell r="N40">
            <v>0.27999999999999997</v>
          </cell>
          <cell r="O40">
            <v>14.3</v>
          </cell>
          <cell r="P40">
            <v>3.8</v>
          </cell>
          <cell r="Q40">
            <v>24.8</v>
          </cell>
          <cell r="R40">
            <v>47.3</v>
          </cell>
          <cell r="S40">
            <v>8.8000000000000007</v>
          </cell>
          <cell r="T40">
            <v>0.11000000000000001</v>
          </cell>
          <cell r="U40">
            <v>0.43</v>
          </cell>
          <cell r="V40">
            <v>4.0000000000000001E-3</v>
          </cell>
          <cell r="W40">
            <v>2</v>
          </cell>
          <cell r="X40">
            <v>0.11000000000000001</v>
          </cell>
          <cell r="Y40">
            <v>0.99</v>
          </cell>
          <cell r="Z40">
            <v>13.93305439330544</v>
          </cell>
          <cell r="AA40">
            <v>10</v>
          </cell>
          <cell r="AB40">
            <v>2</v>
          </cell>
          <cell r="AC40">
            <v>13.263598326359833</v>
          </cell>
          <cell r="AD40">
            <v>3170</v>
          </cell>
          <cell r="AE40">
            <v>9.7071129707112966</v>
          </cell>
          <cell r="AF40">
            <v>2320</v>
          </cell>
          <cell r="AG40">
            <v>14.476987447698745</v>
          </cell>
          <cell r="AH40">
            <v>3460</v>
          </cell>
          <cell r="AI40">
            <v>13.723849372384937</v>
          </cell>
          <cell r="AJ40">
            <v>3280</v>
          </cell>
          <cell r="AK40">
            <v>10</v>
          </cell>
          <cell r="AL40">
            <v>15</v>
          </cell>
          <cell r="AM40">
            <v>1.25</v>
          </cell>
          <cell r="AN40">
            <v>0.6</v>
          </cell>
          <cell r="AO40">
            <v>0.16</v>
          </cell>
          <cell r="AP40">
            <v>0.2</v>
          </cell>
          <cell r="AQ40">
            <v>0.36</v>
          </cell>
          <cell r="AR40">
            <v>0.13</v>
          </cell>
          <cell r="AS40" t="str">
            <v>Organic table  (ITAB &amp;AFZ)</v>
          </cell>
        </row>
        <row r="41">
          <cell r="A41" t="str">
            <v>Rape oil</v>
          </cell>
          <cell r="C41" t="str">
            <v>Oil</v>
          </cell>
          <cell r="D41">
            <v>99.9</v>
          </cell>
          <cell r="E41">
            <v>0</v>
          </cell>
          <cell r="F41">
            <v>0</v>
          </cell>
          <cell r="G41">
            <v>99.6</v>
          </cell>
          <cell r="H41">
            <v>0.2</v>
          </cell>
          <cell r="I41">
            <v>0</v>
          </cell>
          <cell r="J41">
            <v>0</v>
          </cell>
          <cell r="K41">
            <v>0</v>
          </cell>
          <cell r="L41">
            <v>0</v>
          </cell>
          <cell r="M41">
            <v>0</v>
          </cell>
          <cell r="N41">
            <v>0</v>
          </cell>
          <cell r="O41">
            <v>4.8</v>
          </cell>
          <cell r="P41">
            <v>1.6</v>
          </cell>
          <cell r="Q41">
            <v>59.9</v>
          </cell>
          <cell r="R41">
            <v>20.399999999999999</v>
          </cell>
          <cell r="S41">
            <v>9.1999999999999993</v>
          </cell>
          <cell r="T41">
            <v>0</v>
          </cell>
          <cell r="U41">
            <v>0</v>
          </cell>
          <cell r="V41">
            <v>7.000000000000001E-3</v>
          </cell>
          <cell r="X41">
            <v>0</v>
          </cell>
          <cell r="Y41">
            <v>0</v>
          </cell>
          <cell r="Z41">
            <v>33.305439330543933</v>
          </cell>
          <cell r="AA41">
            <v>33.305439330543933</v>
          </cell>
          <cell r="AC41">
            <v>33.138075313807533</v>
          </cell>
          <cell r="AD41">
            <v>7920.0000000000009</v>
          </cell>
          <cell r="AE41">
            <v>29.665271966527197</v>
          </cell>
          <cell r="AF41">
            <v>7090</v>
          </cell>
          <cell r="AG41">
            <v>33.096234309623433</v>
          </cell>
          <cell r="AH41">
            <v>7910.0000000000009</v>
          </cell>
          <cell r="AI41">
            <v>29.665271966527197</v>
          </cell>
          <cell r="AJ41">
            <v>7090</v>
          </cell>
          <cell r="AK41">
            <v>0</v>
          </cell>
          <cell r="AL41">
            <v>4</v>
          </cell>
          <cell r="AM41">
            <v>0</v>
          </cell>
          <cell r="AN41">
            <v>0</v>
          </cell>
          <cell r="AO41">
            <v>0</v>
          </cell>
          <cell r="AP41">
            <v>0</v>
          </cell>
          <cell r="AQ41">
            <v>0</v>
          </cell>
          <cell r="AR41">
            <v>0</v>
          </cell>
          <cell r="AS41" t="str">
            <v>INRA feed table 2002</v>
          </cell>
        </row>
        <row r="42">
          <cell r="A42" t="str">
            <v>Rapeseed</v>
          </cell>
          <cell r="C42" t="str">
            <v>Legume seeds</v>
          </cell>
          <cell r="D42">
            <v>92.4</v>
          </cell>
          <cell r="E42">
            <v>18.7</v>
          </cell>
          <cell r="F42">
            <v>8.5</v>
          </cell>
          <cell r="G42">
            <v>44</v>
          </cell>
          <cell r="H42">
            <v>4</v>
          </cell>
          <cell r="I42">
            <v>1.1599999999999999</v>
          </cell>
          <cell r="J42">
            <v>0.89</v>
          </cell>
          <cell r="K42">
            <v>0.41</v>
          </cell>
          <cell r="L42">
            <v>0.88000000000000012</v>
          </cell>
          <cell r="M42">
            <v>0.24</v>
          </cell>
          <cell r="N42">
            <v>0.47000000000000003</v>
          </cell>
          <cell r="O42">
            <v>4.8</v>
          </cell>
          <cell r="P42">
            <v>1.6</v>
          </cell>
          <cell r="Q42">
            <v>59.9</v>
          </cell>
          <cell r="R42">
            <v>20.399999999999999</v>
          </cell>
          <cell r="S42">
            <v>9.1999999999999993</v>
          </cell>
          <cell r="T42">
            <v>0.45</v>
          </cell>
          <cell r="U42">
            <v>0.67</v>
          </cell>
          <cell r="V42">
            <v>6.0000000000000001E-3</v>
          </cell>
          <cell r="W42">
            <v>4.7</v>
          </cell>
          <cell r="X42">
            <v>0.24</v>
          </cell>
          <cell r="Y42">
            <v>0.78</v>
          </cell>
          <cell r="Z42">
            <v>22.09205020920502</v>
          </cell>
          <cell r="AA42">
            <v>22.594142259414227</v>
          </cell>
          <cell r="AB42">
            <v>2</v>
          </cell>
          <cell r="AC42">
            <v>21.464435146443513</v>
          </cell>
          <cell r="AD42">
            <v>5130</v>
          </cell>
          <cell r="AE42">
            <v>17.11297071129707</v>
          </cell>
          <cell r="AF42">
            <v>4089.9999999999995</v>
          </cell>
          <cell r="AG42">
            <v>21.84100418410042</v>
          </cell>
          <cell r="AH42">
            <v>5220</v>
          </cell>
          <cell r="AI42">
            <v>17.489539748953973</v>
          </cell>
          <cell r="AJ42">
            <v>4180</v>
          </cell>
          <cell r="AK42">
            <v>7</v>
          </cell>
          <cell r="AL42">
            <v>5</v>
          </cell>
          <cell r="AM42">
            <v>0.9</v>
          </cell>
          <cell r="AN42">
            <v>0.63</v>
          </cell>
          <cell r="AO42">
            <v>0.32999999999999996</v>
          </cell>
          <cell r="AP42">
            <v>0.37</v>
          </cell>
          <cell r="AQ42">
            <v>0.7</v>
          </cell>
          <cell r="AR42">
            <v>0.18</v>
          </cell>
          <cell r="AS42" t="str">
            <v>INRA feed table 2002</v>
          </cell>
        </row>
        <row r="43">
          <cell r="A43" t="str">
            <v>Rapeseed cake (low fat)</v>
          </cell>
          <cell r="C43" t="str">
            <v>Oilseeds (Cake)</v>
          </cell>
          <cell r="D43">
            <v>90.4</v>
          </cell>
          <cell r="E43">
            <v>33.4</v>
          </cell>
          <cell r="F43">
            <v>7.4</v>
          </cell>
          <cell r="G43">
            <v>12.8</v>
          </cell>
          <cell r="H43">
            <v>4.8</v>
          </cell>
          <cell r="I43">
            <v>1.31</v>
          </cell>
          <cell r="J43">
            <v>1.27</v>
          </cell>
          <cell r="K43">
            <v>0.63</v>
          </cell>
          <cell r="L43">
            <v>1.24</v>
          </cell>
          <cell r="M43">
            <v>0.5</v>
          </cell>
          <cell r="N43">
            <v>0.62</v>
          </cell>
          <cell r="O43">
            <v>5.6</v>
          </cell>
          <cell r="P43">
            <v>4.4000000000000004</v>
          </cell>
          <cell r="Q43">
            <v>20.2</v>
          </cell>
          <cell r="R43">
            <v>14.7</v>
          </cell>
          <cell r="S43">
            <v>53.8</v>
          </cell>
          <cell r="T43">
            <v>0.39</v>
          </cell>
          <cell r="U43">
            <v>0.84000000000000008</v>
          </cell>
          <cell r="V43">
            <v>6.0999999999999999E-2</v>
          </cell>
          <cell r="W43">
            <v>5.5</v>
          </cell>
          <cell r="X43">
            <v>0.47000000000000003</v>
          </cell>
          <cell r="Y43">
            <v>1.1599999999999999</v>
          </cell>
          <cell r="Z43">
            <v>15.857740585774058</v>
          </cell>
          <cell r="AA43">
            <v>16.317991631799163</v>
          </cell>
          <cell r="AB43">
            <v>1</v>
          </cell>
          <cell r="AC43">
            <v>14.769874476987448</v>
          </cell>
          <cell r="AD43">
            <v>3530</v>
          </cell>
          <cell r="AE43">
            <v>10.292887029288703</v>
          </cell>
          <cell r="AF43">
            <v>2460</v>
          </cell>
          <cell r="AG43">
            <v>15.06276150627615</v>
          </cell>
          <cell r="AH43">
            <v>3600</v>
          </cell>
          <cell r="AI43">
            <v>10.585774058577407</v>
          </cell>
          <cell r="AJ43">
            <v>2530</v>
          </cell>
          <cell r="AK43">
            <v>0</v>
          </cell>
          <cell r="AL43">
            <v>10</v>
          </cell>
          <cell r="AM43">
            <v>1.02</v>
          </cell>
          <cell r="AN43">
            <v>0.99</v>
          </cell>
          <cell r="AO43">
            <v>0.57000000000000006</v>
          </cell>
          <cell r="AP43">
            <v>0.48</v>
          </cell>
          <cell r="AQ43">
            <v>1.05</v>
          </cell>
          <cell r="AR43">
            <v>0.43</v>
          </cell>
          <cell r="AS43" t="str">
            <v>Organic table  (ITAB &amp;AFZ)</v>
          </cell>
        </row>
        <row r="44">
          <cell r="A44" t="str">
            <v>Rapeseed meal, oil &gt; 5%</v>
          </cell>
          <cell r="C44" t="str">
            <v>Legume seeds</v>
          </cell>
          <cell r="D44">
            <v>91.5</v>
          </cell>
          <cell r="E44">
            <v>29.700000762939453</v>
          </cell>
          <cell r="F44">
            <v>11.5</v>
          </cell>
          <cell r="G44">
            <v>14.199999809265137</v>
          </cell>
          <cell r="H44">
            <v>6.3000001907348633</v>
          </cell>
          <cell r="I44">
            <v>1.6399999618530274</v>
          </cell>
          <cell r="J44">
            <v>1.3</v>
          </cell>
          <cell r="K44">
            <v>0.6</v>
          </cell>
          <cell r="L44">
            <v>1.3199999809265137</v>
          </cell>
          <cell r="M44">
            <v>0.37000000476837158</v>
          </cell>
          <cell r="N44">
            <v>0.71999998092651363</v>
          </cell>
          <cell r="O44">
            <v>4.6999998092651367</v>
          </cell>
          <cell r="P44">
            <v>1.6000000238418579</v>
          </cell>
          <cell r="Q44">
            <v>60.400001525878906</v>
          </cell>
          <cell r="R44">
            <v>20</v>
          </cell>
          <cell r="S44">
            <v>9.1999998092651367</v>
          </cell>
          <cell r="T44">
            <v>0.75</v>
          </cell>
          <cell r="U44">
            <v>1.0899999618530274</v>
          </cell>
          <cell r="V44">
            <v>5.0999999046325684E-2</v>
          </cell>
          <cell r="W44">
            <v>6.5</v>
          </cell>
          <cell r="X44">
            <v>0.48000001907348633</v>
          </cell>
          <cell r="Y44">
            <v>1.1399999618530274</v>
          </cell>
          <cell r="Z44">
            <v>14.267782426778243</v>
          </cell>
          <cell r="AA44">
            <v>15.06276150627615</v>
          </cell>
          <cell r="AC44">
            <v>13.389121338912133</v>
          </cell>
          <cell r="AD44">
            <v>3200</v>
          </cell>
          <cell r="AE44">
            <v>9.4142259414225933</v>
          </cell>
          <cell r="AF44">
            <v>2250</v>
          </cell>
          <cell r="AG44">
            <v>14.01673640167364</v>
          </cell>
          <cell r="AH44">
            <v>3350</v>
          </cell>
          <cell r="AI44">
            <v>9.8744769874476983</v>
          </cell>
          <cell r="AJ44">
            <v>2360</v>
          </cell>
          <cell r="AK44">
            <v>0</v>
          </cell>
          <cell r="AL44">
            <v>10</v>
          </cell>
          <cell r="AM44">
            <v>1.2600000381469727</v>
          </cell>
          <cell r="AN44">
            <v>0.9899999618530273</v>
          </cell>
          <cell r="AO44">
            <v>0.54000000953674321</v>
          </cell>
          <cell r="AP44">
            <v>0.58000001907348631</v>
          </cell>
          <cell r="AQ44">
            <v>1.1100000381469726</v>
          </cell>
          <cell r="AR44">
            <v>0.25</v>
          </cell>
          <cell r="AS44" t="str">
            <v>Organic table  (ITAB &amp;AFZ)</v>
          </cell>
        </row>
        <row r="45">
          <cell r="A45" t="str">
            <v>Red clover fresh</v>
          </cell>
          <cell r="C45" t="str">
            <v>ndividual component with low DM</v>
          </cell>
          <cell r="D45">
            <v>27.1</v>
          </cell>
          <cell r="E45">
            <v>13.7</v>
          </cell>
          <cell r="F45">
            <v>28.3</v>
          </cell>
          <cell r="G45">
            <v>3.7</v>
          </cell>
          <cell r="H45">
            <v>13</v>
          </cell>
          <cell r="I45">
            <v>0.38</v>
          </cell>
          <cell r="J45">
            <v>0.31</v>
          </cell>
          <cell r="K45">
            <v>6.9999999999999993E-2</v>
          </cell>
          <cell r="L45">
            <v>0</v>
          </cell>
          <cell r="M45">
            <v>0</v>
          </cell>
          <cell r="N45">
            <v>0</v>
          </cell>
          <cell r="T45">
            <v>0.91</v>
          </cell>
          <cell r="U45">
            <v>0.26</v>
          </cell>
          <cell r="V45">
            <v>0.03</v>
          </cell>
          <cell r="W45">
            <v>0.02</v>
          </cell>
          <cell r="X45">
            <v>0.21</v>
          </cell>
          <cell r="Y45">
            <v>3.41</v>
          </cell>
          <cell r="Z45">
            <v>7.2</v>
          </cell>
          <cell r="AA45">
            <v>0</v>
          </cell>
          <cell r="AC45">
            <v>6.7</v>
          </cell>
          <cell r="AD45">
            <v>0</v>
          </cell>
          <cell r="AE45">
            <v>4</v>
          </cell>
          <cell r="AF45">
            <v>0</v>
          </cell>
          <cell r="AG45">
            <v>7.9</v>
          </cell>
          <cell r="AH45">
            <v>0</v>
          </cell>
          <cell r="AI45">
            <v>4.8</v>
          </cell>
          <cell r="AJ45">
            <v>0</v>
          </cell>
          <cell r="AM45">
            <v>0.27</v>
          </cell>
          <cell r="AN45">
            <v>0.22</v>
          </cell>
          <cell r="AO45">
            <v>0.13</v>
          </cell>
          <cell r="AP45">
            <v>0.03</v>
          </cell>
          <cell r="AQ45">
            <v>0</v>
          </cell>
          <cell r="AR45">
            <v>0</v>
          </cell>
          <cell r="AS45" t="str">
            <v>ICOPP MTT</v>
          </cell>
        </row>
        <row r="46">
          <cell r="A46" t="str">
            <v>Rice protein concentrate</v>
          </cell>
          <cell r="C46" t="str">
            <v xml:space="preserve"> Other plant product</v>
          </cell>
          <cell r="D46">
            <v>94.800003051757813</v>
          </cell>
          <cell r="E46">
            <v>46.5</v>
          </cell>
          <cell r="F46">
            <v>1.2000000476837158</v>
          </cell>
          <cell r="G46">
            <v>3.5999999046325684</v>
          </cell>
          <cell r="H46">
            <v>2.2999999523162842</v>
          </cell>
          <cell r="I46">
            <v>1.4699999809265136</v>
          </cell>
          <cell r="J46">
            <v>1.6899999618530273</v>
          </cell>
          <cell r="K46">
            <v>1.3300000190734864</v>
          </cell>
          <cell r="L46">
            <v>2.35</v>
          </cell>
          <cell r="M46">
            <v>0.61999998092651365</v>
          </cell>
          <cell r="N46">
            <v>1.0199999809265137</v>
          </cell>
          <cell r="O46">
            <v>18.799999237060547</v>
          </cell>
          <cell r="P46">
            <v>2.0999999046325684</v>
          </cell>
          <cell r="Q46">
            <v>39.900001525878906</v>
          </cell>
          <cell r="R46">
            <v>35.799999237060547</v>
          </cell>
          <cell r="S46">
            <v>1.5</v>
          </cell>
          <cell r="T46">
            <v>0.1</v>
          </cell>
          <cell r="U46">
            <v>0.45</v>
          </cell>
          <cell r="V46">
            <v>9.5999997854232785E-2</v>
          </cell>
          <cell r="W46">
            <v>3.9000000953674316</v>
          </cell>
          <cell r="X46">
            <v>4.0000000596046449E-2</v>
          </cell>
          <cell r="Y46">
            <v>2.0000000298023225E-2</v>
          </cell>
          <cell r="Z46">
            <v>16.86192468619247</v>
          </cell>
          <cell r="AA46">
            <v>17.280334728033473</v>
          </cell>
          <cell r="AC46">
            <v>15.397489539748953</v>
          </cell>
          <cell r="AD46">
            <v>3680</v>
          </cell>
          <cell r="AE46">
            <v>9.7489539748953966</v>
          </cell>
          <cell r="AF46">
            <v>2330</v>
          </cell>
          <cell r="AG46">
            <v>15.523012552301255</v>
          </cell>
          <cell r="AH46">
            <v>3710</v>
          </cell>
          <cell r="AI46">
            <v>10.083682008368202</v>
          </cell>
          <cell r="AJ46">
            <v>2410</v>
          </cell>
          <cell r="AS46" t="str">
            <v>Organic table  (ITAB &amp;AFZ)</v>
          </cell>
        </row>
        <row r="47">
          <cell r="A47" t="str">
            <v>Pea (coloured)</v>
          </cell>
          <cell r="C47" t="str">
            <v>Legume seeds</v>
          </cell>
          <cell r="D47">
            <v>86.1</v>
          </cell>
          <cell r="E47">
            <v>21</v>
          </cell>
          <cell r="F47">
            <v>6.2</v>
          </cell>
          <cell r="G47">
            <v>1.3</v>
          </cell>
          <cell r="H47">
            <v>2.7</v>
          </cell>
          <cell r="I47">
            <v>1.52</v>
          </cell>
          <cell r="J47">
            <v>0.79</v>
          </cell>
          <cell r="K47">
            <v>0.2</v>
          </cell>
          <cell r="L47">
            <v>0.48</v>
          </cell>
          <cell r="M47">
            <v>0.18</v>
          </cell>
          <cell r="N47">
            <v>0.27999999999999997</v>
          </cell>
          <cell r="O47">
            <v>14.3</v>
          </cell>
          <cell r="P47">
            <v>3.8</v>
          </cell>
          <cell r="Q47">
            <v>24.8</v>
          </cell>
          <cell r="R47">
            <v>47.3</v>
          </cell>
          <cell r="S47">
            <v>8.8000000000000007</v>
          </cell>
          <cell r="T47">
            <v>0.22000000000000003</v>
          </cell>
          <cell r="U47">
            <v>0.42000000000000004</v>
          </cell>
          <cell r="V47">
            <v>4.0000000000000001E-3</v>
          </cell>
          <cell r="W47">
            <v>1.9</v>
          </cell>
          <cell r="X47">
            <v>0.15</v>
          </cell>
          <cell r="Y47">
            <v>0.99</v>
          </cell>
          <cell r="Z47">
            <v>13.723849372384937</v>
          </cell>
          <cell r="AA47">
            <v>9.8326359832635983</v>
          </cell>
          <cell r="AB47">
            <v>2</v>
          </cell>
          <cell r="AC47">
            <v>13.096234309623432</v>
          </cell>
          <cell r="AD47">
            <v>3130</v>
          </cell>
          <cell r="AE47">
            <v>9.497907949790795</v>
          </cell>
          <cell r="AF47">
            <v>2270</v>
          </cell>
          <cell r="AG47">
            <v>13.556485355648535</v>
          </cell>
          <cell r="AH47">
            <v>3240</v>
          </cell>
          <cell r="AI47">
            <v>9.8326359832635983</v>
          </cell>
          <cell r="AJ47">
            <v>2350</v>
          </cell>
          <cell r="AK47">
            <v>10</v>
          </cell>
          <cell r="AL47">
            <v>15</v>
          </cell>
          <cell r="AM47">
            <v>1.1599999999999999</v>
          </cell>
          <cell r="AN47">
            <v>0.53</v>
          </cell>
          <cell r="AO47">
            <v>0.12</v>
          </cell>
          <cell r="AP47">
            <v>0.2</v>
          </cell>
          <cell r="AQ47">
            <v>0.32</v>
          </cell>
          <cell r="AR47">
            <v>0.11000000000000001</v>
          </cell>
          <cell r="AS47" t="str">
            <v>Organic table  (ITAB &amp;AFZ)</v>
          </cell>
        </row>
        <row r="48">
          <cell r="A48" t="str">
            <v>Rye</v>
          </cell>
          <cell r="B48" t="str">
            <v>Seigle</v>
          </cell>
          <cell r="C48" t="str">
            <v>Cereals</v>
          </cell>
          <cell r="D48">
            <v>84.2</v>
          </cell>
          <cell r="E48">
            <v>9.3000000000000007</v>
          </cell>
          <cell r="F48">
            <v>2.1</v>
          </cell>
          <cell r="G48">
            <v>1.1000000000000001</v>
          </cell>
          <cell r="H48">
            <v>1.7</v>
          </cell>
          <cell r="I48">
            <v>0.35</v>
          </cell>
          <cell r="J48">
            <v>0.32</v>
          </cell>
          <cell r="K48">
            <v>0.15</v>
          </cell>
          <cell r="L48">
            <v>0.36</v>
          </cell>
          <cell r="M48">
            <v>0.08</v>
          </cell>
          <cell r="N48">
            <v>0.21</v>
          </cell>
          <cell r="O48">
            <v>14.9</v>
          </cell>
          <cell r="P48">
            <v>0.8</v>
          </cell>
          <cell r="Q48">
            <v>18.100000000000001</v>
          </cell>
          <cell r="R48">
            <v>57.7</v>
          </cell>
          <cell r="S48">
            <v>7.1</v>
          </cell>
          <cell r="T48">
            <v>0.06</v>
          </cell>
          <cell r="U48">
            <v>0.28999999999999998</v>
          </cell>
          <cell r="V48">
            <v>0.03</v>
          </cell>
          <cell r="W48">
            <v>1.9</v>
          </cell>
          <cell r="X48">
            <v>0.1</v>
          </cell>
          <cell r="Y48">
            <v>0.44000000000000006</v>
          </cell>
          <cell r="Z48">
            <v>12.761506276150628</v>
          </cell>
          <cell r="AA48">
            <v>13.05439330543933</v>
          </cell>
          <cell r="AB48">
            <v>0.9</v>
          </cell>
          <cell r="AC48">
            <v>12.343096234309623</v>
          </cell>
          <cell r="AD48">
            <v>2950</v>
          </cell>
          <cell r="AE48">
            <v>9.497907949790795</v>
          </cell>
          <cell r="AF48">
            <v>2270</v>
          </cell>
          <cell r="AG48">
            <v>12.552301255230125</v>
          </cell>
          <cell r="AH48">
            <v>3000</v>
          </cell>
          <cell r="AI48">
            <v>9.7071129707112966</v>
          </cell>
          <cell r="AJ48">
            <v>2320</v>
          </cell>
          <cell r="AK48">
            <v>0</v>
          </cell>
          <cell r="AL48">
            <v>50</v>
          </cell>
          <cell r="AM48">
            <v>0.25</v>
          </cell>
          <cell r="AN48">
            <v>0.22000000000000003</v>
          </cell>
          <cell r="AO48">
            <v>0.12</v>
          </cell>
          <cell r="AP48">
            <v>0.18</v>
          </cell>
          <cell r="AQ48">
            <v>0.3</v>
          </cell>
          <cell r="AR48">
            <v>0.06</v>
          </cell>
          <cell r="AS48" t="str">
            <v>Organic table  (ITAB &amp;AFZ)</v>
          </cell>
        </row>
        <row r="49">
          <cell r="A49" t="str">
            <v>Sainfoin</v>
          </cell>
          <cell r="C49" t="str">
            <v>Legume seeds</v>
          </cell>
          <cell r="D49">
            <v>93.4</v>
          </cell>
          <cell r="E49">
            <v>31.2</v>
          </cell>
          <cell r="F49">
            <v>19.399999999999999</v>
          </cell>
          <cell r="G49">
            <v>6.9</v>
          </cell>
          <cell r="H49">
            <v>5.0999999999999996</v>
          </cell>
          <cell r="I49">
            <v>0.53</v>
          </cell>
          <cell r="J49">
            <v>0.35</v>
          </cell>
          <cell r="K49">
            <v>0.18</v>
          </cell>
          <cell r="L49">
            <v>0.53</v>
          </cell>
          <cell r="M49">
            <v>0</v>
          </cell>
          <cell r="N49">
            <v>0.13</v>
          </cell>
          <cell r="O49">
            <v>7.43</v>
          </cell>
          <cell r="P49">
            <v>3.06</v>
          </cell>
          <cell r="Q49">
            <v>24.95</v>
          </cell>
          <cell r="R49">
            <v>18.77</v>
          </cell>
          <cell r="S49">
            <v>41.31</v>
          </cell>
          <cell r="T49">
            <v>0.76</v>
          </cell>
          <cell r="U49">
            <v>0.55000000000000004</v>
          </cell>
          <cell r="V49">
            <v>3.0000000000000001E-3</v>
          </cell>
          <cell r="W49">
            <v>6.2</v>
          </cell>
          <cell r="X49">
            <v>0.18</v>
          </cell>
          <cell r="Y49">
            <v>1.0900000000000001</v>
          </cell>
          <cell r="Z49">
            <v>13.9</v>
          </cell>
          <cell r="AA49">
            <v>14.7</v>
          </cell>
          <cell r="AC49">
            <v>13.1</v>
          </cell>
          <cell r="AD49">
            <v>3130.9</v>
          </cell>
          <cell r="AE49">
            <v>9.1</v>
          </cell>
          <cell r="AF49">
            <v>2174.9</v>
          </cell>
          <cell r="AG49">
            <v>13.8</v>
          </cell>
          <cell r="AH49">
            <v>3298.2000000000003</v>
          </cell>
          <cell r="AI49">
            <v>9.5</v>
          </cell>
          <cell r="AJ49">
            <v>2270.5</v>
          </cell>
          <cell r="AK49">
            <v>10</v>
          </cell>
          <cell r="AL49">
            <v>20</v>
          </cell>
          <cell r="AM49">
            <v>1.45</v>
          </cell>
          <cell r="AN49">
            <v>0</v>
          </cell>
          <cell r="AO49">
            <v>0</v>
          </cell>
          <cell r="AP49">
            <v>0</v>
          </cell>
          <cell r="AQ49">
            <v>0</v>
          </cell>
          <cell r="AR49">
            <v>0</v>
          </cell>
          <cell r="AS49" t="str">
            <v>Tarasenko N. A, Butina E. A, Gerasimenko E. O. Peculiarities of chemical composition of sainfoin seeds powder. Orient J Chem 2015;31(3) and ICOPP MTT</v>
          </cell>
        </row>
        <row r="50">
          <cell r="A50" t="str">
            <v>Sesame oil meal, oil &gt; 5%</v>
          </cell>
          <cell r="C50" t="str">
            <v>Oilseeds (Cake)</v>
          </cell>
          <cell r="D50">
            <v>93.599998474121094</v>
          </cell>
          <cell r="E50">
            <v>43.200000762939453</v>
          </cell>
          <cell r="F50">
            <v>6.5999999046325684</v>
          </cell>
          <cell r="G50">
            <v>14.300000190734863</v>
          </cell>
          <cell r="H50">
            <v>8.6000003814697266</v>
          </cell>
          <cell r="I50">
            <v>1.0100000381469727</v>
          </cell>
          <cell r="J50">
            <v>1.2800000190734864</v>
          </cell>
          <cell r="K50">
            <v>1.1100000381469726</v>
          </cell>
          <cell r="L50">
            <v>1.8799999237060547</v>
          </cell>
          <cell r="M50">
            <v>0.48000001907348633</v>
          </cell>
          <cell r="N50">
            <v>0.76999998092651367</v>
          </cell>
          <cell r="O50">
            <v>8.8000001907348633</v>
          </cell>
          <cell r="P50">
            <v>4.9000000953674316</v>
          </cell>
          <cell r="Q50">
            <v>38.900001525878906</v>
          </cell>
          <cell r="R50">
            <v>43.700000762939453</v>
          </cell>
          <cell r="S50">
            <v>0.40000000596046448</v>
          </cell>
          <cell r="T50">
            <v>1.8700000762939453</v>
          </cell>
          <cell r="U50">
            <v>1.1499999999999999</v>
          </cell>
          <cell r="V50">
            <v>5.9999998658895491E-3</v>
          </cell>
          <cell r="W50">
            <v>8.6000003814697266</v>
          </cell>
          <cell r="X50">
            <v>0.55999999046325688</v>
          </cell>
          <cell r="Y50">
            <v>0.96999998092651363</v>
          </cell>
          <cell r="Z50">
            <v>16.02510460251046</v>
          </cell>
          <cell r="AA50">
            <v>16.569037656903767</v>
          </cell>
          <cell r="AB50">
            <v>3.2999999523162842</v>
          </cell>
          <cell r="AC50">
            <v>14.769874476987448</v>
          </cell>
          <cell r="AD50">
            <v>3530</v>
          </cell>
          <cell r="AE50">
            <v>10.209205020920502</v>
          </cell>
          <cell r="AF50">
            <v>2440</v>
          </cell>
          <cell r="AG50">
            <v>15.188284518828452</v>
          </cell>
          <cell r="AH50">
            <v>3630</v>
          </cell>
          <cell r="AI50">
            <v>10.502092050209205</v>
          </cell>
          <cell r="AJ50">
            <v>2510</v>
          </cell>
          <cell r="AK50">
            <v>5</v>
          </cell>
          <cell r="AL50">
            <v>10</v>
          </cell>
          <cell r="AM50">
            <v>0</v>
          </cell>
          <cell r="AN50">
            <v>0</v>
          </cell>
          <cell r="AO50">
            <v>0</v>
          </cell>
          <cell r="AP50">
            <v>0</v>
          </cell>
          <cell r="AQ50">
            <v>0</v>
          </cell>
          <cell r="AR50">
            <v>0</v>
          </cell>
          <cell r="AS50" t="str">
            <v>Organic table  (ITAB &amp;AFZ)</v>
          </cell>
        </row>
        <row r="51">
          <cell r="A51" t="str">
            <v>Sodium chlorite</v>
          </cell>
          <cell r="C51" t="str">
            <v>Minerals</v>
          </cell>
          <cell r="D51">
            <v>99.6</v>
          </cell>
          <cell r="E51">
            <v>0</v>
          </cell>
          <cell r="F51">
            <v>0</v>
          </cell>
          <cell r="G51">
            <v>0</v>
          </cell>
          <cell r="H51">
            <v>99.3</v>
          </cell>
          <cell r="I51">
            <v>0</v>
          </cell>
          <cell r="J51">
            <v>0</v>
          </cell>
          <cell r="K51">
            <v>0</v>
          </cell>
          <cell r="L51">
            <v>0</v>
          </cell>
          <cell r="M51">
            <v>0</v>
          </cell>
          <cell r="N51">
            <v>0</v>
          </cell>
          <cell r="O51">
            <v>0</v>
          </cell>
          <cell r="P51">
            <v>0</v>
          </cell>
          <cell r="Q51">
            <v>0</v>
          </cell>
          <cell r="R51">
            <v>0</v>
          </cell>
          <cell r="T51">
            <v>0</v>
          </cell>
          <cell r="U51">
            <v>0</v>
          </cell>
          <cell r="V51">
            <v>38</v>
          </cell>
          <cell r="X51">
            <v>0</v>
          </cell>
          <cell r="Y51">
            <v>0</v>
          </cell>
          <cell r="Z51">
            <v>0</v>
          </cell>
          <cell r="AA51">
            <v>0</v>
          </cell>
          <cell r="AC51">
            <v>0</v>
          </cell>
          <cell r="AD51">
            <v>0</v>
          </cell>
          <cell r="AE51">
            <v>0</v>
          </cell>
          <cell r="AF51">
            <v>0</v>
          </cell>
          <cell r="AG51">
            <v>0</v>
          </cell>
          <cell r="AH51">
            <v>0</v>
          </cell>
          <cell r="AI51">
            <v>0</v>
          </cell>
          <cell r="AJ51">
            <v>0</v>
          </cell>
          <cell r="AK51">
            <v>5</v>
          </cell>
          <cell r="AL51">
            <v>5</v>
          </cell>
          <cell r="AM51">
            <v>0</v>
          </cell>
          <cell r="AN51">
            <v>0</v>
          </cell>
          <cell r="AO51">
            <v>0</v>
          </cell>
          <cell r="AP51">
            <v>0</v>
          </cell>
          <cell r="AQ51">
            <v>0</v>
          </cell>
          <cell r="AR51">
            <v>0</v>
          </cell>
          <cell r="AS51" t="str">
            <v>Organic table  (ITAB &amp;AFZ)</v>
          </cell>
        </row>
        <row r="52">
          <cell r="A52" t="str">
            <v xml:space="preserve">Sorghum </v>
          </cell>
          <cell r="B52" t="str">
            <v>Sorghum</v>
          </cell>
          <cell r="C52" t="str">
            <v>Cereals</v>
          </cell>
          <cell r="D52">
            <v>87.699996948242188</v>
          </cell>
          <cell r="E52">
            <v>9</v>
          </cell>
          <cell r="F52">
            <v>3.5</v>
          </cell>
          <cell r="G52">
            <v>2.9000000953674316</v>
          </cell>
          <cell r="H52">
            <v>1.8999999761581421</v>
          </cell>
          <cell r="I52">
            <v>2.2000000476837158</v>
          </cell>
          <cell r="J52">
            <v>3</v>
          </cell>
          <cell r="K52">
            <v>1.5</v>
          </cell>
          <cell r="L52">
            <v>3.2000000476837158</v>
          </cell>
          <cell r="M52">
            <v>0.89999997615814209</v>
          </cell>
          <cell r="N52">
            <v>1.7000000476837158</v>
          </cell>
          <cell r="O52">
            <v>14.300000190734863</v>
          </cell>
          <cell r="P52">
            <v>1.7000000476837158</v>
          </cell>
          <cell r="Q52">
            <v>38.200000762939453</v>
          </cell>
          <cell r="R52">
            <v>42.200000762939453</v>
          </cell>
          <cell r="S52">
            <v>1.7999999523162842</v>
          </cell>
          <cell r="T52">
            <v>3.0000001192092896E-2</v>
          </cell>
          <cell r="U52">
            <v>0.3</v>
          </cell>
          <cell r="V52">
            <v>1.5999999642372132E-2</v>
          </cell>
          <cell r="W52">
            <v>2.0999999046325684</v>
          </cell>
          <cell r="X52">
            <v>0.15</v>
          </cell>
          <cell r="Y52">
            <v>0.35999999046325681</v>
          </cell>
          <cell r="Z52">
            <v>14.225941422594142</v>
          </cell>
          <cell r="AA52">
            <v>14.518828451882845</v>
          </cell>
          <cell r="AB52">
            <v>0.8</v>
          </cell>
          <cell r="AC52">
            <v>13.891213389121338</v>
          </cell>
          <cell r="AD52">
            <v>3320</v>
          </cell>
          <cell r="AE52">
            <v>10.92050209205021</v>
          </cell>
          <cell r="AF52">
            <v>2610</v>
          </cell>
          <cell r="AG52">
            <v>14.100418410041842</v>
          </cell>
          <cell r="AH52">
            <v>3370</v>
          </cell>
          <cell r="AI52">
            <v>11.087866108786612</v>
          </cell>
          <cell r="AJ52">
            <v>2650</v>
          </cell>
          <cell r="AK52">
            <v>40</v>
          </cell>
          <cell r="AL52">
            <v>80</v>
          </cell>
          <cell r="AM52">
            <v>0.1600000023841858</v>
          </cell>
          <cell r="AN52">
            <v>0.22000000476837159</v>
          </cell>
          <cell r="AO52">
            <v>0.12999999523162842</v>
          </cell>
          <cell r="AP52">
            <v>0.12999999523162842</v>
          </cell>
          <cell r="AQ52">
            <v>0.25999999046325684</v>
          </cell>
          <cell r="AR52">
            <v>6.999999880790711E-2</v>
          </cell>
          <cell r="AS52" t="str">
            <v>Organic table  (ITAB &amp;AFZ)</v>
          </cell>
        </row>
        <row r="53">
          <cell r="A53" t="str">
            <v>Soya bean raw</v>
          </cell>
          <cell r="C53" t="str">
            <v>Legume seeds</v>
          </cell>
          <cell r="D53">
            <v>88.199996948242188</v>
          </cell>
          <cell r="E53">
            <v>35.700000762939453</v>
          </cell>
          <cell r="F53">
            <v>6.3000001907348633</v>
          </cell>
          <cell r="G53">
            <v>18.600000381469727</v>
          </cell>
          <cell r="H53">
            <v>4.5999999046325684</v>
          </cell>
          <cell r="I53">
            <v>2.2200000762939451</v>
          </cell>
          <cell r="J53">
            <v>1.4399999618530273</v>
          </cell>
          <cell r="K53">
            <v>0.51999998092651367</v>
          </cell>
          <cell r="L53">
            <v>1.0399999618530273</v>
          </cell>
          <cell r="M53">
            <v>0.45</v>
          </cell>
          <cell r="N53">
            <v>0.53000001907348637</v>
          </cell>
          <cell r="O53">
            <v>11.199999809265137</v>
          </cell>
          <cell r="P53">
            <v>3.7999999523162842</v>
          </cell>
          <cell r="Q53">
            <v>23.100000381469727</v>
          </cell>
          <cell r="R53">
            <v>54</v>
          </cell>
          <cell r="S53">
            <v>7.1999998092651367</v>
          </cell>
          <cell r="T53">
            <v>0.29000000953674315</v>
          </cell>
          <cell r="U53">
            <v>0.54000000953674321</v>
          </cell>
          <cell r="V53">
            <v>6.0000000000000001E-3</v>
          </cell>
          <cell r="W53">
            <v>3.2999999523162842</v>
          </cell>
          <cell r="X53">
            <v>0.2</v>
          </cell>
          <cell r="Y53">
            <v>1.6600000000000001</v>
          </cell>
          <cell r="Z53">
            <v>20.3</v>
          </cell>
          <cell r="AA53">
            <v>0</v>
          </cell>
          <cell r="AC53">
            <v>19.3</v>
          </cell>
          <cell r="AD53">
            <v>4612.7</v>
          </cell>
          <cell r="AE53">
            <v>14</v>
          </cell>
          <cell r="AF53">
            <v>3346</v>
          </cell>
          <cell r="AG53">
            <v>0</v>
          </cell>
          <cell r="AH53">
            <v>0</v>
          </cell>
          <cell r="AI53">
            <v>0</v>
          </cell>
          <cell r="AJ53">
            <v>0</v>
          </cell>
          <cell r="AK53">
            <v>15</v>
          </cell>
          <cell r="AL53">
            <v>10</v>
          </cell>
          <cell r="AM53">
            <v>1.2699999809265137</v>
          </cell>
          <cell r="AN53">
            <v>0.70999999046325679</v>
          </cell>
          <cell r="AO53">
            <v>0.32000000476837159</v>
          </cell>
          <cell r="AP53">
            <v>0.17999999523162841</v>
          </cell>
          <cell r="AQ53">
            <v>0.5</v>
          </cell>
          <cell r="AR53">
            <v>0.12999999523162842</v>
          </cell>
          <cell r="AS53" t="str">
            <v>Organic table  (ITAB &amp;AFZ)</v>
          </cell>
        </row>
        <row r="54">
          <cell r="A54" t="str">
            <v>Soya bean thermically treated</v>
          </cell>
          <cell r="C54" t="str">
            <v>Legume seeds</v>
          </cell>
          <cell r="D54">
            <v>90.699996948242188</v>
          </cell>
          <cell r="E54">
            <v>37.599998474121094</v>
          </cell>
          <cell r="F54">
            <v>4.1999998092651367</v>
          </cell>
          <cell r="G54">
            <v>17.5</v>
          </cell>
          <cell r="H54">
            <v>5.1999998092651367</v>
          </cell>
          <cell r="I54">
            <v>2.3399999618530272</v>
          </cell>
          <cell r="J54">
            <v>1.5100000381469727</v>
          </cell>
          <cell r="K54">
            <v>0.54000000953674321</v>
          </cell>
          <cell r="L54">
            <v>1.1000000000000001</v>
          </cell>
          <cell r="M54">
            <v>0.48000001907348633</v>
          </cell>
          <cell r="N54">
            <v>0.55999999046325688</v>
          </cell>
          <cell r="O54">
            <v>11.199999809265137</v>
          </cell>
          <cell r="P54">
            <v>3.7999999523162842</v>
          </cell>
          <cell r="Q54">
            <v>23.100000381469727</v>
          </cell>
          <cell r="R54">
            <v>54</v>
          </cell>
          <cell r="S54">
            <v>7.1999998092651367</v>
          </cell>
          <cell r="T54">
            <v>0.3</v>
          </cell>
          <cell r="U54">
            <v>0.55000000000000004</v>
          </cell>
          <cell r="V54">
            <v>5.0000000000000001E-3</v>
          </cell>
          <cell r="W54">
            <v>3.2999999523162842</v>
          </cell>
          <cell r="X54">
            <v>0.22999999523162842</v>
          </cell>
          <cell r="Y54">
            <v>1.83</v>
          </cell>
          <cell r="Z54">
            <v>16.276150627615063</v>
          </cell>
          <cell r="AA54">
            <v>17.698744769874477</v>
          </cell>
          <cell r="AB54">
            <v>1.7999999523162842</v>
          </cell>
          <cell r="AC54">
            <v>15.271966527196653</v>
          </cell>
          <cell r="AD54">
            <v>3650</v>
          </cell>
          <cell r="AE54">
            <v>11.087866108786612</v>
          </cell>
          <cell r="AF54">
            <v>2650</v>
          </cell>
          <cell r="AG54">
            <v>16.485355648535563</v>
          </cell>
          <cell r="AH54">
            <v>3939.9999999999995</v>
          </cell>
          <cell r="AI54">
            <v>11.882845188284518</v>
          </cell>
          <cell r="AJ54">
            <v>2840</v>
          </cell>
          <cell r="AK54">
            <v>15</v>
          </cell>
          <cell r="AL54">
            <v>10</v>
          </cell>
          <cell r="AM54">
            <v>1.8399999618530274</v>
          </cell>
          <cell r="AN54">
            <v>1.1399999618530274</v>
          </cell>
          <cell r="AO54">
            <v>0.41999998092651369</v>
          </cell>
          <cell r="AP54">
            <v>0.41999998092651369</v>
          </cell>
          <cell r="AQ54">
            <v>0.83999996185302739</v>
          </cell>
          <cell r="AR54">
            <v>0.4</v>
          </cell>
          <cell r="AS54" t="str">
            <v>Organic table  (ITAB &amp;AFZ)</v>
          </cell>
        </row>
        <row r="55">
          <cell r="A55" t="str">
            <v>Soya bean toasted</v>
          </cell>
          <cell r="C55" t="str">
            <v>Legume seeds</v>
          </cell>
          <cell r="D55" t="str">
            <v>88.6.</v>
          </cell>
          <cell r="E55">
            <v>35.700000000000003</v>
          </cell>
          <cell r="F55">
            <v>5.8</v>
          </cell>
          <cell r="G55">
            <v>19.7</v>
          </cell>
          <cell r="H55">
            <v>4.9000000000000004</v>
          </cell>
          <cell r="I55">
            <v>2.2199999999999998</v>
          </cell>
          <cell r="J55">
            <v>1.44</v>
          </cell>
          <cell r="K55">
            <v>0.52</v>
          </cell>
          <cell r="L55">
            <v>1.04</v>
          </cell>
          <cell r="M55">
            <v>0.45</v>
          </cell>
          <cell r="N55">
            <v>0.53</v>
          </cell>
          <cell r="O55">
            <v>10.5</v>
          </cell>
          <cell r="P55">
            <v>3.8</v>
          </cell>
          <cell r="Q55">
            <v>21.7</v>
          </cell>
          <cell r="R55">
            <v>53.1</v>
          </cell>
          <cell r="S55">
            <v>7.4</v>
          </cell>
          <cell r="T55">
            <v>0.3</v>
          </cell>
          <cell r="U55">
            <v>0.53</v>
          </cell>
          <cell r="V55">
            <v>6.0000000000000001E-3</v>
          </cell>
          <cell r="W55">
            <v>3.2</v>
          </cell>
          <cell r="X55">
            <v>0.22000000000000003</v>
          </cell>
          <cell r="Y55">
            <v>1.75</v>
          </cell>
          <cell r="Z55">
            <v>16.401673640167363</v>
          </cell>
          <cell r="AA55">
            <v>17.782426778242677</v>
          </cell>
          <cell r="AB55">
            <v>1.7</v>
          </cell>
          <cell r="AC55">
            <v>15.439330543933055</v>
          </cell>
          <cell r="AD55">
            <v>3690</v>
          </cell>
          <cell r="AE55">
            <v>11.338912133891213</v>
          </cell>
          <cell r="AF55">
            <v>2710</v>
          </cell>
          <cell r="AG55">
            <v>16.652719665271967</v>
          </cell>
          <cell r="AH55">
            <v>3980</v>
          </cell>
          <cell r="AI55">
            <v>12.133891213389122</v>
          </cell>
          <cell r="AJ55">
            <v>2900</v>
          </cell>
          <cell r="AK55">
            <v>15</v>
          </cell>
          <cell r="AL55">
            <v>10</v>
          </cell>
          <cell r="AM55">
            <v>1.75</v>
          </cell>
          <cell r="AN55">
            <v>1.0900000000000001</v>
          </cell>
          <cell r="AO55">
            <v>0.4</v>
          </cell>
          <cell r="AP55">
            <v>0.4</v>
          </cell>
          <cell r="AQ55">
            <v>0.8</v>
          </cell>
          <cell r="AR55">
            <v>0.38</v>
          </cell>
          <cell r="AS55" t="str">
            <v>INRA feed table 2002</v>
          </cell>
        </row>
        <row r="56">
          <cell r="A56" t="str">
            <v>Soya oil</v>
          </cell>
          <cell r="C56" t="str">
            <v>Oil</v>
          </cell>
          <cell r="D56">
            <v>99.8</v>
          </cell>
          <cell r="E56">
            <v>0</v>
          </cell>
          <cell r="F56">
            <v>0</v>
          </cell>
          <cell r="G56">
            <v>99.7</v>
          </cell>
          <cell r="H56">
            <v>0</v>
          </cell>
          <cell r="I56">
            <v>0</v>
          </cell>
          <cell r="J56">
            <v>0</v>
          </cell>
          <cell r="K56">
            <v>0</v>
          </cell>
          <cell r="L56">
            <v>0</v>
          </cell>
          <cell r="M56">
            <v>0</v>
          </cell>
          <cell r="N56">
            <v>0</v>
          </cell>
          <cell r="O56">
            <v>10.5</v>
          </cell>
          <cell r="P56">
            <v>3.8</v>
          </cell>
          <cell r="Q56">
            <v>21.7</v>
          </cell>
          <cell r="R56">
            <v>53.1</v>
          </cell>
          <cell r="S56">
            <v>7.4</v>
          </cell>
          <cell r="T56">
            <v>0</v>
          </cell>
          <cell r="U56">
            <v>0</v>
          </cell>
          <cell r="V56">
            <v>8.0000000000000002E-3</v>
          </cell>
          <cell r="W56">
            <v>0</v>
          </cell>
          <cell r="X56">
            <v>0</v>
          </cell>
          <cell r="Y56">
            <v>0.02</v>
          </cell>
          <cell r="Z56">
            <v>33.263598326359833</v>
          </cell>
          <cell r="AA56">
            <v>33.263598326359833</v>
          </cell>
          <cell r="AB56">
            <v>0</v>
          </cell>
          <cell r="AC56">
            <v>33.096234309623433</v>
          </cell>
          <cell r="AD56">
            <v>7910.0000000000009</v>
          </cell>
          <cell r="AE56">
            <v>29.707112970711297</v>
          </cell>
          <cell r="AF56">
            <v>7100</v>
          </cell>
          <cell r="AG56">
            <v>33.054393305439334</v>
          </cell>
          <cell r="AH56">
            <v>7900.0000000000009</v>
          </cell>
          <cell r="AI56">
            <v>29.707112970711297</v>
          </cell>
          <cell r="AJ56">
            <v>7100</v>
          </cell>
          <cell r="AL56">
            <v>4</v>
          </cell>
          <cell r="AM56">
            <v>0</v>
          </cell>
          <cell r="AN56">
            <v>0</v>
          </cell>
          <cell r="AO56">
            <v>0</v>
          </cell>
          <cell r="AP56">
            <v>0</v>
          </cell>
          <cell r="AQ56">
            <v>0</v>
          </cell>
          <cell r="AR56">
            <v>0</v>
          </cell>
          <cell r="AS56" t="str">
            <v>INRA feed table 2002</v>
          </cell>
        </row>
        <row r="57">
          <cell r="A57" t="str">
            <v>Soyabean cake (high protein)</v>
          </cell>
          <cell r="C57" t="str">
            <v>Oilseeds (Cake)</v>
          </cell>
          <cell r="D57">
            <v>94.400001525878906</v>
          </cell>
          <cell r="E57">
            <v>46.200000762939453</v>
          </cell>
          <cell r="F57">
            <v>5.9000000953674316</v>
          </cell>
          <cell r="G57">
            <v>8.6999998092651367</v>
          </cell>
          <cell r="H57">
            <v>6.1999998092651367</v>
          </cell>
          <cell r="I57">
            <v>2.6</v>
          </cell>
          <cell r="J57">
            <v>1.7899999618530273</v>
          </cell>
          <cell r="K57">
            <v>0.65999999046325686</v>
          </cell>
          <cell r="L57">
            <v>1.3800000190734862</v>
          </cell>
          <cell r="M57">
            <v>0.63000001907348635</v>
          </cell>
          <cell r="N57">
            <v>0.70999999046325679</v>
          </cell>
          <cell r="O57">
            <v>11.199999809265137</v>
          </cell>
          <cell r="P57">
            <v>3.7999999523162842</v>
          </cell>
          <cell r="Q57">
            <v>23.100000381469727</v>
          </cell>
          <cell r="R57">
            <v>54</v>
          </cell>
          <cell r="S57">
            <v>7.1999998092651367</v>
          </cell>
          <cell r="T57">
            <v>0.35</v>
          </cell>
          <cell r="U57">
            <v>0.65999999046325686</v>
          </cell>
          <cell r="V57">
            <v>0</v>
          </cell>
          <cell r="W57">
            <v>3.9000000953674316</v>
          </cell>
          <cell r="X57">
            <v>0.27999999523162844</v>
          </cell>
          <cell r="Y57">
            <v>2.1200000762939455</v>
          </cell>
          <cell r="Z57">
            <v>17.11297071129707</v>
          </cell>
          <cell r="AA57">
            <v>18.07531380753138</v>
          </cell>
          <cell r="AB57">
            <v>2.0999999046325599</v>
          </cell>
          <cell r="AC57">
            <v>15.815899581589958</v>
          </cell>
          <cell r="AD57">
            <v>3780</v>
          </cell>
          <cell r="AE57">
            <v>10.334728033472803</v>
          </cell>
          <cell r="AF57">
            <v>2470</v>
          </cell>
          <cell r="AG57">
            <v>16.569037656903767</v>
          </cell>
          <cell r="AH57">
            <v>3960.0000000000005</v>
          </cell>
          <cell r="AI57">
            <v>10.96234309623431</v>
          </cell>
          <cell r="AJ57">
            <v>2620</v>
          </cell>
          <cell r="AK57">
            <v>10</v>
          </cell>
          <cell r="AL57">
            <v>25</v>
          </cell>
          <cell r="AM57">
            <v>2.35</v>
          </cell>
          <cell r="AN57">
            <v>1.5600000381469727</v>
          </cell>
          <cell r="AO57">
            <v>0.6</v>
          </cell>
          <cell r="AP57">
            <v>0.61999998092651365</v>
          </cell>
          <cell r="AQ57">
            <v>1.2300000190734863</v>
          </cell>
          <cell r="AR57">
            <v>0.55999999046325688</v>
          </cell>
          <cell r="AS57" t="str">
            <v>Organic table  (ITAB &amp;AFZ)</v>
          </cell>
        </row>
        <row r="58">
          <cell r="A58" t="str">
            <v>Soyabean cake (low protein)</v>
          </cell>
          <cell r="C58" t="str">
            <v>Oilseeds (Cake)</v>
          </cell>
          <cell r="D58">
            <v>92.599998474121094</v>
          </cell>
          <cell r="E58">
            <v>42</v>
          </cell>
          <cell r="F58">
            <v>6.0999999046325684</v>
          </cell>
          <cell r="G58">
            <v>8.8999996185302734</v>
          </cell>
          <cell r="H58">
            <v>6</v>
          </cell>
          <cell r="I58">
            <v>2.3700000762939455</v>
          </cell>
          <cell r="J58">
            <v>1.65</v>
          </cell>
          <cell r="K58">
            <v>0.6</v>
          </cell>
          <cell r="L58">
            <v>1.2399999618530273</v>
          </cell>
          <cell r="M58">
            <v>0.55999999046325688</v>
          </cell>
          <cell r="N58">
            <v>0.64000000953674319</v>
          </cell>
          <cell r="O58">
            <v>11.199999809265137</v>
          </cell>
          <cell r="P58">
            <v>3.7999999523162842</v>
          </cell>
          <cell r="Q58">
            <v>23.100000381469727</v>
          </cell>
          <cell r="R58">
            <v>54</v>
          </cell>
          <cell r="S58">
            <v>7.1999998092651367</v>
          </cell>
          <cell r="T58">
            <v>0.34000000953674314</v>
          </cell>
          <cell r="U58">
            <v>0.64000000953674319</v>
          </cell>
          <cell r="V58">
            <v>1E-3</v>
          </cell>
          <cell r="W58">
            <v>3.7999999523162842</v>
          </cell>
          <cell r="X58">
            <v>0.2700000047683716</v>
          </cell>
          <cell r="Y58">
            <v>2.0499999999999998</v>
          </cell>
          <cell r="Z58">
            <v>16.652719665271967</v>
          </cell>
          <cell r="AA58">
            <v>17.615062761506277</v>
          </cell>
          <cell r="AB58">
            <v>2</v>
          </cell>
          <cell r="AC58">
            <v>15.439330543933055</v>
          </cell>
          <cell r="AD58">
            <v>3690</v>
          </cell>
          <cell r="AE58">
            <v>10.209205020920502</v>
          </cell>
          <cell r="AF58">
            <v>2440</v>
          </cell>
          <cell r="AG58">
            <v>16.192468619246863</v>
          </cell>
          <cell r="AH58">
            <v>3870.0000000000005</v>
          </cell>
          <cell r="AI58">
            <v>10.836820083682008</v>
          </cell>
          <cell r="AJ58">
            <v>2590</v>
          </cell>
          <cell r="AK58">
            <v>10</v>
          </cell>
          <cell r="AL58">
            <v>25</v>
          </cell>
          <cell r="AM58">
            <v>2.1299999237060545</v>
          </cell>
          <cell r="AN58">
            <v>1.4300000190734863</v>
          </cell>
          <cell r="AO58">
            <v>0.55000000000000004</v>
          </cell>
          <cell r="AP58">
            <v>0.55000000000000004</v>
          </cell>
          <cell r="AQ58">
            <v>1.1000000000000001</v>
          </cell>
          <cell r="AR58">
            <v>0.5</v>
          </cell>
          <cell r="AS58" t="str">
            <v>Organic table  (ITAB &amp;AFZ)</v>
          </cell>
        </row>
        <row r="59">
          <cell r="A59" t="str">
            <v>Spelt organic</v>
          </cell>
          <cell r="C59" t="str">
            <v>Cereals</v>
          </cell>
          <cell r="D59">
            <v>86.900001525878906</v>
          </cell>
          <cell r="E59">
            <v>9.8999996185302734</v>
          </cell>
          <cell r="F59">
            <v>11.100000381469727</v>
          </cell>
          <cell r="G59">
            <v>1.2999999523162842</v>
          </cell>
          <cell r="H59">
            <v>2.7000000476837158</v>
          </cell>
          <cell r="I59">
            <v>3</v>
          </cell>
          <cell r="J59">
            <v>3</v>
          </cell>
          <cell r="K59">
            <v>1.6000000238418579</v>
          </cell>
          <cell r="L59">
            <v>3.9000000953674316</v>
          </cell>
          <cell r="M59">
            <v>1.2000000476837158</v>
          </cell>
          <cell r="N59">
            <v>2.2999999523162842</v>
          </cell>
          <cell r="O59">
            <v>17.799999237060547</v>
          </cell>
          <cell r="P59">
            <v>0.80000001192092896</v>
          </cell>
          <cell r="Q59">
            <v>15.199999809265137</v>
          </cell>
          <cell r="R59">
            <v>56.400001525878906</v>
          </cell>
          <cell r="S59">
            <v>5.9000000953674316</v>
          </cell>
          <cell r="T59">
            <v>8.0000001192092898E-2</v>
          </cell>
          <cell r="U59">
            <v>0.37000000476837158</v>
          </cell>
          <cell r="V59">
            <v>1.0999999940395355E-2</v>
          </cell>
          <cell r="W59">
            <v>2.4000000953674316</v>
          </cell>
          <cell r="X59">
            <v>0.1600000023841858</v>
          </cell>
          <cell r="Y59">
            <v>0.18999999761581421</v>
          </cell>
          <cell r="Z59">
            <v>7.531380753138075</v>
          </cell>
          <cell r="AA59">
            <v>8.7447698744769866</v>
          </cell>
          <cell r="AC59">
            <v>7.3221757322175733</v>
          </cell>
          <cell r="AD59">
            <v>1750</v>
          </cell>
          <cell r="AE59">
            <v>6.1924686192468616</v>
          </cell>
          <cell r="AF59">
            <v>1480</v>
          </cell>
          <cell r="AG59">
            <v>8.493723849372385</v>
          </cell>
          <cell r="AH59">
            <v>2030</v>
          </cell>
          <cell r="AI59">
            <v>6.6945606694560666</v>
          </cell>
          <cell r="AJ59">
            <v>1600</v>
          </cell>
          <cell r="AM59">
            <v>0</v>
          </cell>
          <cell r="AN59">
            <v>0</v>
          </cell>
          <cell r="AO59">
            <v>0</v>
          </cell>
          <cell r="AP59">
            <v>0</v>
          </cell>
          <cell r="AQ59">
            <v>0</v>
          </cell>
          <cell r="AR59">
            <v>0</v>
          </cell>
          <cell r="AS59" t="str">
            <v>Organic table  (ITAB &amp;AFZ)</v>
          </cell>
        </row>
        <row r="60">
          <cell r="A60" t="str">
            <v>Sunflower bean</v>
          </cell>
          <cell r="C60" t="str">
            <v>Legume seeds</v>
          </cell>
          <cell r="D60">
            <v>93.599998474121094</v>
          </cell>
          <cell r="E60">
            <v>15.199999809265137</v>
          </cell>
          <cell r="F60">
            <v>14.399999618530273</v>
          </cell>
          <cell r="G60">
            <v>45.099998474121094</v>
          </cell>
          <cell r="H60">
            <v>3.0999999046325684</v>
          </cell>
          <cell r="I60">
            <v>0.61999998092651365</v>
          </cell>
          <cell r="J60">
            <v>0.58000001907348631</v>
          </cell>
          <cell r="K60">
            <v>0.35</v>
          </cell>
          <cell r="L60">
            <v>0.60999999046325681</v>
          </cell>
          <cell r="M60">
            <v>0.20999999046325685</v>
          </cell>
          <cell r="N60">
            <v>0.2700000047683716</v>
          </cell>
          <cell r="O60">
            <v>6.4000000953674316</v>
          </cell>
          <cell r="P60">
            <v>4.3000001907348633</v>
          </cell>
          <cell r="Q60">
            <v>20.200000762939453</v>
          </cell>
          <cell r="R60">
            <v>65.199996948242188</v>
          </cell>
          <cell r="S60">
            <v>0.30000001192092896</v>
          </cell>
          <cell r="T60">
            <v>0.25999999046325684</v>
          </cell>
          <cell r="U60">
            <v>0.50999999046325684</v>
          </cell>
          <cell r="V60">
            <v>5.0000000000000001E-3</v>
          </cell>
          <cell r="W60">
            <v>4.3000001907348633</v>
          </cell>
          <cell r="X60">
            <v>0.2700000047683716</v>
          </cell>
          <cell r="Y60">
            <v>0.77</v>
          </cell>
          <cell r="Z60">
            <v>19.581589958158997</v>
          </cell>
          <cell r="AA60">
            <v>20.376569037656903</v>
          </cell>
          <cell r="AC60">
            <v>19.03765690376569</v>
          </cell>
          <cell r="AD60">
            <v>4550</v>
          </cell>
          <cell r="AE60">
            <v>15.899581589958158</v>
          </cell>
          <cell r="AF60">
            <v>3800</v>
          </cell>
          <cell r="AG60">
            <v>19.665271966527197</v>
          </cell>
          <cell r="AH60">
            <v>4700</v>
          </cell>
          <cell r="AI60">
            <v>16.192468619246863</v>
          </cell>
          <cell r="AJ60">
            <v>3870.0000000000005</v>
          </cell>
          <cell r="AK60">
            <v>0</v>
          </cell>
          <cell r="AL60">
            <v>20</v>
          </cell>
          <cell r="AM60">
            <v>0</v>
          </cell>
          <cell r="AN60">
            <v>0</v>
          </cell>
          <cell r="AO60">
            <v>0</v>
          </cell>
          <cell r="AP60">
            <v>0</v>
          </cell>
          <cell r="AQ60">
            <v>0</v>
          </cell>
          <cell r="AR60">
            <v>0</v>
          </cell>
          <cell r="AS60" t="str">
            <v>Organic table  (ITAB &amp;AFZ)</v>
          </cell>
        </row>
        <row r="61">
          <cell r="A61" t="str">
            <v>Sunflower cake (dehulled)</v>
          </cell>
          <cell r="C61" t="str">
            <v>Oilseeds (Cake)</v>
          </cell>
          <cell r="D61">
            <v>93.8</v>
          </cell>
          <cell r="E61">
            <v>33.700000000000003</v>
          </cell>
          <cell r="F61">
            <v>18.5</v>
          </cell>
          <cell r="G61">
            <v>8.8000000000000007</v>
          </cell>
          <cell r="H61">
            <v>6.2</v>
          </cell>
          <cell r="I61">
            <v>1.21</v>
          </cell>
          <cell r="J61">
            <v>1.22</v>
          </cell>
          <cell r="K61">
            <v>0.76</v>
          </cell>
          <cell r="L61">
            <v>1.3199999999999998</v>
          </cell>
          <cell r="M61">
            <v>0.43</v>
          </cell>
          <cell r="N61">
            <v>0.57000000000000006</v>
          </cell>
          <cell r="O61">
            <v>6.3</v>
          </cell>
          <cell r="P61">
            <v>4.3</v>
          </cell>
          <cell r="Q61">
            <v>20.3</v>
          </cell>
          <cell r="R61">
            <v>64.900000000000006</v>
          </cell>
          <cell r="S61">
            <v>0.3</v>
          </cell>
          <cell r="T61">
            <v>0.39</v>
          </cell>
          <cell r="U61">
            <v>0.99</v>
          </cell>
          <cell r="V61">
            <v>0</v>
          </cell>
          <cell r="W61">
            <v>8.4</v>
          </cell>
          <cell r="X61">
            <v>0.49000000000000005</v>
          </cell>
          <cell r="Y61">
            <v>1.3199999999999998</v>
          </cell>
          <cell r="Z61">
            <v>12.594142259414227</v>
          </cell>
          <cell r="AA61">
            <v>13.640167364016737</v>
          </cell>
          <cell r="AB61">
            <v>1.9</v>
          </cell>
          <cell r="AC61">
            <v>11.673640167364017</v>
          </cell>
          <cell r="AD61">
            <v>2790</v>
          </cell>
          <cell r="AE61">
            <v>7.6569037656903767</v>
          </cell>
          <cell r="AF61">
            <v>1830</v>
          </cell>
          <cell r="AG61">
            <v>12.510460251046025</v>
          </cell>
          <cell r="AH61">
            <v>2990</v>
          </cell>
          <cell r="AI61">
            <v>8.1589958158995817</v>
          </cell>
          <cell r="AJ61">
            <v>1950</v>
          </cell>
          <cell r="AK61">
            <v>5</v>
          </cell>
          <cell r="AL61">
            <v>20</v>
          </cell>
          <cell r="AM61">
            <v>1</v>
          </cell>
          <cell r="AN61">
            <v>0.99</v>
          </cell>
          <cell r="AO61">
            <v>0.69000000000000006</v>
          </cell>
          <cell r="AP61">
            <v>0.47000000000000003</v>
          </cell>
          <cell r="AQ61">
            <v>1.1599999999999999</v>
          </cell>
          <cell r="AR61">
            <v>0.36</v>
          </cell>
          <cell r="AS61" t="str">
            <v>INRA feed table 2002</v>
          </cell>
        </row>
        <row r="62">
          <cell r="A62" t="str">
            <v>Sunflower cake (high protein)</v>
          </cell>
          <cell r="C62" t="str">
            <v>Oilseeds (Cake)</v>
          </cell>
          <cell r="D62">
            <v>94.199996948242188</v>
          </cell>
          <cell r="E62">
            <v>33.299999237060547</v>
          </cell>
          <cell r="F62">
            <v>18.899999618530273</v>
          </cell>
          <cell r="G62">
            <v>8.6000003814697266</v>
          </cell>
          <cell r="H62">
            <v>6</v>
          </cell>
          <cell r="I62">
            <v>1.2</v>
          </cell>
          <cell r="J62">
            <v>1.2</v>
          </cell>
          <cell r="K62">
            <v>0.75</v>
          </cell>
          <cell r="L62">
            <v>1.3100000381469727</v>
          </cell>
          <cell r="M62">
            <v>0.41999998092651369</v>
          </cell>
          <cell r="N62">
            <v>0.55999999046325688</v>
          </cell>
          <cell r="O62">
            <v>6.4000000953674316</v>
          </cell>
          <cell r="P62">
            <v>4.3000001907348633</v>
          </cell>
          <cell r="Q62">
            <v>20.200000762939453</v>
          </cell>
          <cell r="R62">
            <v>65.199996948242188</v>
          </cell>
          <cell r="S62">
            <v>0.30000001192092896</v>
          </cell>
          <cell r="T62">
            <v>0.39000000953674319</v>
          </cell>
          <cell r="U62">
            <v>0.96999998092651363</v>
          </cell>
          <cell r="V62">
            <v>1.2E-2</v>
          </cell>
          <cell r="W62">
            <v>8.3000001907348633</v>
          </cell>
          <cell r="X62">
            <v>0.48000001907348633</v>
          </cell>
          <cell r="Y62">
            <v>1.41</v>
          </cell>
          <cell r="Z62">
            <v>12.552301255230125</v>
          </cell>
          <cell r="AA62">
            <v>13.598326359832637</v>
          </cell>
          <cell r="AB62">
            <v>1.7999999523162842</v>
          </cell>
          <cell r="AC62">
            <v>11.631799163179917</v>
          </cell>
          <cell r="AD62">
            <v>2780</v>
          </cell>
          <cell r="AE62">
            <v>7.6569037656903767</v>
          </cell>
          <cell r="AF62">
            <v>1830</v>
          </cell>
          <cell r="AG62">
            <v>12.468619246861925</v>
          </cell>
          <cell r="AH62">
            <v>2980</v>
          </cell>
          <cell r="AI62">
            <v>8.1589958158995817</v>
          </cell>
          <cell r="AJ62">
            <v>1950</v>
          </cell>
          <cell r="AK62">
            <v>5</v>
          </cell>
          <cell r="AL62">
            <v>20</v>
          </cell>
          <cell r="AM62">
            <v>1</v>
          </cell>
          <cell r="AN62">
            <v>0.9899999618530273</v>
          </cell>
          <cell r="AO62">
            <v>0.68000001907348628</v>
          </cell>
          <cell r="AP62">
            <v>0.45999999046325685</v>
          </cell>
          <cell r="AQ62">
            <v>1.1399999618530274</v>
          </cell>
          <cell r="AR62">
            <v>0.35999999046325681</v>
          </cell>
          <cell r="AS62" t="str">
            <v>Organic table  (ITAB &amp;AFZ)</v>
          </cell>
        </row>
        <row r="63">
          <cell r="A63" t="str">
            <v>Sunflower cake (low protein)</v>
          </cell>
          <cell r="C63" t="str">
            <v>Oilseeds (Cake)</v>
          </cell>
          <cell r="D63">
            <v>92.300003051757813</v>
          </cell>
          <cell r="E63">
            <v>24.100000381469727</v>
          </cell>
          <cell r="F63">
            <v>24.600000381469727</v>
          </cell>
          <cell r="G63">
            <v>14.899999618530273</v>
          </cell>
          <cell r="H63">
            <v>5.3000001907348633</v>
          </cell>
          <cell r="I63">
            <v>0.9</v>
          </cell>
          <cell r="J63">
            <v>0.88999996185302732</v>
          </cell>
          <cell r="K63">
            <v>0.54000000953674321</v>
          </cell>
          <cell r="L63">
            <v>0.96000003814697266</v>
          </cell>
          <cell r="M63">
            <v>0.30999999046325682</v>
          </cell>
          <cell r="N63">
            <v>0.40999999046325686</v>
          </cell>
          <cell r="O63">
            <v>6.4000000953674316</v>
          </cell>
          <cell r="P63">
            <v>4.3000001907348633</v>
          </cell>
          <cell r="Q63">
            <v>20.200000762939453</v>
          </cell>
          <cell r="R63">
            <v>65.199996948242188</v>
          </cell>
          <cell r="S63">
            <v>0.30000001192092896</v>
          </cell>
          <cell r="T63">
            <v>0.35999999046325681</v>
          </cell>
          <cell r="U63">
            <v>0.85</v>
          </cell>
          <cell r="V63">
            <v>1E-3</v>
          </cell>
          <cell r="W63">
            <v>7.1999998092651367</v>
          </cell>
          <cell r="X63">
            <v>0.41999998092651369</v>
          </cell>
          <cell r="Y63">
            <v>1.25</v>
          </cell>
          <cell r="Z63">
            <v>11.297071129707113</v>
          </cell>
          <cell r="AA63">
            <v>12.594142259414227</v>
          </cell>
          <cell r="AB63">
            <v>1.6000000238418579</v>
          </cell>
          <cell r="AC63">
            <v>10.627615062761507</v>
          </cell>
          <cell r="AD63">
            <v>2540</v>
          </cell>
          <cell r="AE63">
            <v>7.6150627615062758</v>
          </cell>
          <cell r="AF63">
            <v>1820</v>
          </cell>
          <cell r="AG63">
            <v>11.673640167364017</v>
          </cell>
          <cell r="AH63">
            <v>2790</v>
          </cell>
          <cell r="AI63">
            <v>8.1589958158995817</v>
          </cell>
          <cell r="AJ63">
            <v>1950</v>
          </cell>
          <cell r="AK63">
            <v>5</v>
          </cell>
          <cell r="AL63">
            <v>20</v>
          </cell>
          <cell r="AM63">
            <v>0.69000000953674312</v>
          </cell>
          <cell r="AN63">
            <v>0.65</v>
          </cell>
          <cell r="AO63">
            <v>0.46999998092651368</v>
          </cell>
          <cell r="AP63">
            <v>0.3</v>
          </cell>
          <cell r="AQ63">
            <v>0.75999999046325684</v>
          </cell>
          <cell r="AR63">
            <v>0.24000000953674316</v>
          </cell>
          <cell r="AS63" t="str">
            <v>Organic table  (ITAB &amp;AFZ)</v>
          </cell>
        </row>
        <row r="64">
          <cell r="A64" t="str">
            <v>Sunflower oil</v>
          </cell>
          <cell r="C64" t="str">
            <v>Oil</v>
          </cell>
          <cell r="D64">
            <v>99.3</v>
          </cell>
          <cell r="E64">
            <v>0</v>
          </cell>
          <cell r="F64">
            <v>0</v>
          </cell>
          <cell r="G64">
            <v>99.5</v>
          </cell>
          <cell r="H64">
            <v>0.05</v>
          </cell>
          <cell r="I64">
            <v>0</v>
          </cell>
          <cell r="J64">
            <v>0</v>
          </cell>
          <cell r="K64">
            <v>0</v>
          </cell>
          <cell r="L64">
            <v>0</v>
          </cell>
          <cell r="M64">
            <v>0</v>
          </cell>
          <cell r="N64">
            <v>0</v>
          </cell>
          <cell r="O64">
            <v>6.3</v>
          </cell>
          <cell r="P64">
            <v>4.3</v>
          </cell>
          <cell r="Q64">
            <v>20.3</v>
          </cell>
          <cell r="R64">
            <v>64.900000000000006</v>
          </cell>
          <cell r="S64">
            <v>0.3</v>
          </cell>
          <cell r="T64">
            <v>0</v>
          </cell>
          <cell r="U64">
            <v>0</v>
          </cell>
          <cell r="V64">
            <v>8.0000000000000002E-3</v>
          </cell>
          <cell r="W64">
            <v>0</v>
          </cell>
          <cell r="X64">
            <v>0</v>
          </cell>
          <cell r="Y64">
            <v>0</v>
          </cell>
          <cell r="Z64">
            <v>33.096234309623433</v>
          </cell>
          <cell r="AA64">
            <v>33.096234309623433</v>
          </cell>
          <cell r="AC64">
            <v>32.928870292887026</v>
          </cell>
          <cell r="AD64">
            <v>7869.9999999999991</v>
          </cell>
          <cell r="AE64">
            <v>29.623430962343097</v>
          </cell>
          <cell r="AF64">
            <v>7080</v>
          </cell>
          <cell r="AG64">
            <v>32.887029288702927</v>
          </cell>
          <cell r="AH64">
            <v>7859.9999999999991</v>
          </cell>
          <cell r="AI64">
            <v>29.623430962343097</v>
          </cell>
          <cell r="AJ64">
            <v>7080</v>
          </cell>
          <cell r="AM64">
            <v>0</v>
          </cell>
          <cell r="AN64">
            <v>0</v>
          </cell>
          <cell r="AO64">
            <v>0</v>
          </cell>
          <cell r="AP64">
            <v>0</v>
          </cell>
          <cell r="AQ64">
            <v>0</v>
          </cell>
          <cell r="AR64">
            <v>0</v>
          </cell>
          <cell r="AS64" t="str">
            <v>INRA feed table 2002</v>
          </cell>
        </row>
        <row r="65">
          <cell r="A65" t="str">
            <v>Triticale 10,9% CP</v>
          </cell>
          <cell r="B65" t="str">
            <v>Triticale 10,9% MAT</v>
          </cell>
          <cell r="C65" t="str">
            <v>Cereals</v>
          </cell>
          <cell r="D65">
            <v>87</v>
          </cell>
          <cell r="E65">
            <v>10.9</v>
          </cell>
          <cell r="F65">
            <v>2.9</v>
          </cell>
          <cell r="G65">
            <v>1.5</v>
          </cell>
          <cell r="H65">
            <v>1.7</v>
          </cell>
          <cell r="I65">
            <v>0.43</v>
          </cell>
          <cell r="J65">
            <v>0.36</v>
          </cell>
          <cell r="K65">
            <v>0.19</v>
          </cell>
          <cell r="L65">
            <v>0.47000000000000003</v>
          </cell>
          <cell r="M65">
            <v>0.13999999999999999</v>
          </cell>
          <cell r="N65">
            <v>0.28999999999999998</v>
          </cell>
          <cell r="O65">
            <v>17</v>
          </cell>
          <cell r="P65">
            <v>0.9</v>
          </cell>
          <cell r="Q65">
            <v>13.5</v>
          </cell>
          <cell r="R65">
            <v>60.8</v>
          </cell>
          <cell r="S65">
            <v>7.1</v>
          </cell>
          <cell r="T65">
            <v>0.06</v>
          </cell>
          <cell r="U65">
            <v>0.32999999999999996</v>
          </cell>
          <cell r="V65">
            <v>6.0000000000000001E-3</v>
          </cell>
          <cell r="W65">
            <v>2.5</v>
          </cell>
          <cell r="X65">
            <v>0.11000000000000001</v>
          </cell>
          <cell r="Y65">
            <v>0.5</v>
          </cell>
          <cell r="Z65">
            <v>13.640167364016737</v>
          </cell>
          <cell r="AA65">
            <v>13.891213389121338</v>
          </cell>
          <cell r="AB65">
            <v>1.1000000000000001</v>
          </cell>
          <cell r="AC65">
            <v>13.221757322175732</v>
          </cell>
          <cell r="AD65">
            <v>3160</v>
          </cell>
          <cell r="AE65">
            <v>10.292887029288703</v>
          </cell>
          <cell r="AF65">
            <v>2460</v>
          </cell>
          <cell r="AG65">
            <v>13.389121338912133</v>
          </cell>
          <cell r="AH65">
            <v>3200</v>
          </cell>
          <cell r="AI65">
            <v>10.418410041841005</v>
          </cell>
          <cell r="AJ65">
            <v>2490</v>
          </cell>
          <cell r="AK65">
            <v>30</v>
          </cell>
          <cell r="AL65">
            <v>50</v>
          </cell>
          <cell r="AM65">
            <v>0.32999999999999996</v>
          </cell>
          <cell r="AN65">
            <v>0.27</v>
          </cell>
          <cell r="AO65">
            <v>0.16</v>
          </cell>
          <cell r="AP65">
            <v>0.24</v>
          </cell>
          <cell r="AQ65">
            <v>0.39</v>
          </cell>
          <cell r="AR65">
            <v>0.11000000000000001</v>
          </cell>
          <cell r="AS65" t="str">
            <v>Organic table  (ITAB &amp;AFZ)</v>
          </cell>
        </row>
        <row r="66">
          <cell r="A66" t="str">
            <v>Triticale 7,9% CP</v>
          </cell>
          <cell r="B66" t="str">
            <v>Triticale 7,9% MAT</v>
          </cell>
          <cell r="C66" t="str">
            <v>Cereals</v>
          </cell>
          <cell r="D66">
            <v>87</v>
          </cell>
          <cell r="E66">
            <v>7.9</v>
          </cell>
          <cell r="F66">
            <v>2.9</v>
          </cell>
          <cell r="G66">
            <v>1.5</v>
          </cell>
          <cell r="H66">
            <v>1.7</v>
          </cell>
          <cell r="I66">
            <v>0.31</v>
          </cell>
          <cell r="J66">
            <v>0.26</v>
          </cell>
          <cell r="K66">
            <v>0.13999999999999999</v>
          </cell>
          <cell r="L66">
            <v>0.33999999999999997</v>
          </cell>
          <cell r="M66">
            <v>0.1</v>
          </cell>
          <cell r="N66">
            <v>0.21000000000000002</v>
          </cell>
          <cell r="O66">
            <v>17</v>
          </cell>
          <cell r="P66">
            <v>0.9</v>
          </cell>
          <cell r="Q66">
            <v>13.5</v>
          </cell>
          <cell r="R66">
            <v>60.8</v>
          </cell>
          <cell r="S66">
            <v>7.1</v>
          </cell>
          <cell r="T66">
            <v>0.06</v>
          </cell>
          <cell r="U66">
            <v>0.32999999999999996</v>
          </cell>
          <cell r="V66">
            <v>6.0000000000000001E-3</v>
          </cell>
          <cell r="W66">
            <v>2.5</v>
          </cell>
          <cell r="X66">
            <v>0.11000000000000001</v>
          </cell>
          <cell r="Y66">
            <v>0.5</v>
          </cell>
          <cell r="Z66">
            <v>13.389121338912133</v>
          </cell>
          <cell r="AA66">
            <v>13.723849372384937</v>
          </cell>
          <cell r="AB66">
            <v>1.1000000000000001</v>
          </cell>
          <cell r="AC66">
            <v>13.138075313807532</v>
          </cell>
          <cell r="AD66">
            <v>3140</v>
          </cell>
          <cell r="AE66">
            <v>10.083682008368202</v>
          </cell>
          <cell r="AF66">
            <v>2410</v>
          </cell>
          <cell r="AG66">
            <v>13.305439330543933</v>
          </cell>
          <cell r="AH66">
            <v>3180</v>
          </cell>
          <cell r="AI66">
            <v>10.209205020920502</v>
          </cell>
          <cell r="AJ66">
            <v>2440</v>
          </cell>
          <cell r="AK66">
            <v>30</v>
          </cell>
          <cell r="AL66">
            <v>50</v>
          </cell>
          <cell r="AM66">
            <v>0.32999999999999996</v>
          </cell>
          <cell r="AN66">
            <v>0.27</v>
          </cell>
          <cell r="AO66">
            <v>0.16</v>
          </cell>
          <cell r="AP66">
            <v>0.24</v>
          </cell>
          <cell r="AQ66">
            <v>0.39</v>
          </cell>
          <cell r="AR66">
            <v>0.11000000000000001</v>
          </cell>
          <cell r="AS66" t="str">
            <v>Organic table  (ITAB &amp;AFZ)</v>
          </cell>
        </row>
        <row r="67">
          <cell r="A67" t="str">
            <v>Triticale 8,9% CP</v>
          </cell>
          <cell r="B67" t="str">
            <v>Triticale 8,9% MAT</v>
          </cell>
          <cell r="C67" t="str">
            <v>Cereals</v>
          </cell>
          <cell r="D67">
            <v>87</v>
          </cell>
          <cell r="E67">
            <v>8.9</v>
          </cell>
          <cell r="F67">
            <v>2.9</v>
          </cell>
          <cell r="G67">
            <v>1.5</v>
          </cell>
          <cell r="H67">
            <v>1.7</v>
          </cell>
          <cell r="I67">
            <v>0.35</v>
          </cell>
          <cell r="J67">
            <v>0.3</v>
          </cell>
          <cell r="K67">
            <v>0.15</v>
          </cell>
          <cell r="L67">
            <v>0.39</v>
          </cell>
          <cell r="M67">
            <v>0.12</v>
          </cell>
          <cell r="N67">
            <v>0.22999999999999998</v>
          </cell>
          <cell r="O67">
            <v>17</v>
          </cell>
          <cell r="P67">
            <v>0.9</v>
          </cell>
          <cell r="Q67">
            <v>13.5</v>
          </cell>
          <cell r="R67">
            <v>60.8</v>
          </cell>
          <cell r="S67">
            <v>7.1</v>
          </cell>
          <cell r="T67">
            <v>0.06</v>
          </cell>
          <cell r="U67">
            <v>0.32999999999999996</v>
          </cell>
          <cell r="V67">
            <v>6.0000000000000001E-3</v>
          </cell>
          <cell r="W67">
            <v>2.5</v>
          </cell>
          <cell r="X67">
            <v>0.11000000000000001</v>
          </cell>
          <cell r="Y67">
            <v>0.5</v>
          </cell>
          <cell r="Z67">
            <v>13.556485355648535</v>
          </cell>
          <cell r="AA67">
            <v>13.807531380753138</v>
          </cell>
          <cell r="AB67">
            <v>1.1000000000000001</v>
          </cell>
          <cell r="AC67">
            <v>13.179916317991632</v>
          </cell>
          <cell r="AD67">
            <v>3150</v>
          </cell>
          <cell r="AE67">
            <v>10.292887029288703</v>
          </cell>
          <cell r="AF67">
            <v>2460</v>
          </cell>
          <cell r="AG67">
            <v>13.347280334728033</v>
          </cell>
          <cell r="AH67">
            <v>3190</v>
          </cell>
          <cell r="AI67">
            <v>10.376569037656903</v>
          </cell>
          <cell r="AJ67">
            <v>2480</v>
          </cell>
          <cell r="AK67">
            <v>30</v>
          </cell>
          <cell r="AL67">
            <v>50</v>
          </cell>
          <cell r="AM67">
            <v>0.32999999999999996</v>
          </cell>
          <cell r="AN67">
            <v>0.27</v>
          </cell>
          <cell r="AO67">
            <v>0.16</v>
          </cell>
          <cell r="AP67">
            <v>0.24</v>
          </cell>
          <cell r="AQ67">
            <v>0.39</v>
          </cell>
          <cell r="AR67">
            <v>0.11000000000000001</v>
          </cell>
          <cell r="AS67" t="str">
            <v>Organic table  (ITAB &amp;AFZ)</v>
          </cell>
        </row>
        <row r="68">
          <cell r="A68" t="str">
            <v>Triticale 9,9% CP</v>
          </cell>
          <cell r="B68" t="str">
            <v>Triticale 9,9% MAT</v>
          </cell>
          <cell r="C68" t="str">
            <v>Cereals</v>
          </cell>
          <cell r="D68">
            <v>87</v>
          </cell>
          <cell r="E68">
            <v>9.9</v>
          </cell>
          <cell r="F68">
            <v>2.9</v>
          </cell>
          <cell r="G68">
            <v>1.5</v>
          </cell>
          <cell r="H68">
            <v>1.7</v>
          </cell>
          <cell r="I68">
            <v>0.39</v>
          </cell>
          <cell r="J68">
            <v>0.32999999999999996</v>
          </cell>
          <cell r="K68">
            <v>0.16999999999999998</v>
          </cell>
          <cell r="L68">
            <v>0.43</v>
          </cell>
          <cell r="M68">
            <v>0.13</v>
          </cell>
          <cell r="N68">
            <v>0.26</v>
          </cell>
          <cell r="O68">
            <v>17</v>
          </cell>
          <cell r="P68">
            <v>0.9</v>
          </cell>
          <cell r="Q68">
            <v>13.5</v>
          </cell>
          <cell r="R68">
            <v>60.8</v>
          </cell>
          <cell r="S68">
            <v>7.1</v>
          </cell>
          <cell r="T68">
            <v>0.06</v>
          </cell>
          <cell r="U68">
            <v>0.32999999999999996</v>
          </cell>
          <cell r="V68">
            <v>6.0000000000000001E-3</v>
          </cell>
          <cell r="W68">
            <v>2.5</v>
          </cell>
          <cell r="X68">
            <v>0.11000000000000001</v>
          </cell>
          <cell r="Y68">
            <v>0.5</v>
          </cell>
          <cell r="Z68">
            <v>13.347280334728033</v>
          </cell>
          <cell r="AA68">
            <v>13.640167364016737</v>
          </cell>
          <cell r="AB68">
            <v>1.1000000000000001</v>
          </cell>
          <cell r="AC68">
            <v>12.97071129707113</v>
          </cell>
          <cell r="AD68">
            <v>3100</v>
          </cell>
          <cell r="AE68">
            <v>10.167364016736402</v>
          </cell>
          <cell r="AF68">
            <v>2430</v>
          </cell>
          <cell r="AG68">
            <v>13.179916317991632</v>
          </cell>
          <cell r="AH68">
            <v>3150</v>
          </cell>
          <cell r="AI68">
            <v>10.292887029288703</v>
          </cell>
          <cell r="AJ68">
            <v>2460</v>
          </cell>
          <cell r="AK68">
            <v>30</v>
          </cell>
          <cell r="AL68">
            <v>50</v>
          </cell>
          <cell r="AM68">
            <v>0.32999999999999996</v>
          </cell>
          <cell r="AN68">
            <v>0.27</v>
          </cell>
          <cell r="AO68">
            <v>0.16</v>
          </cell>
          <cell r="AP68">
            <v>0.24</v>
          </cell>
          <cell r="AQ68">
            <v>0.39</v>
          </cell>
          <cell r="AR68">
            <v>0.11000000000000001</v>
          </cell>
          <cell r="AS68" t="str">
            <v>Organic table  (ITAB &amp;AFZ)</v>
          </cell>
        </row>
        <row r="69">
          <cell r="A69" t="str">
            <v>Vetch common</v>
          </cell>
          <cell r="C69" t="str">
            <v>Legume seeds</v>
          </cell>
          <cell r="D69">
            <v>90.900001525878906</v>
          </cell>
          <cell r="E69">
            <v>27.200000762939453</v>
          </cell>
          <cell r="F69">
            <v>5.9000000953674316</v>
          </cell>
          <cell r="G69">
            <v>1</v>
          </cell>
          <cell r="H69">
            <v>2.9000000953674316</v>
          </cell>
          <cell r="I69">
            <v>1.75</v>
          </cell>
          <cell r="J69">
            <v>1.0199999809265137</v>
          </cell>
          <cell r="K69">
            <v>0.22000000476837159</v>
          </cell>
          <cell r="L69">
            <v>0.65999999046325686</v>
          </cell>
          <cell r="M69">
            <v>0.24000000953674316</v>
          </cell>
          <cell r="N69">
            <v>0.44000000953674318</v>
          </cell>
          <cell r="O69">
            <v>19.899999618530273</v>
          </cell>
          <cell r="P69">
            <v>4.8000001907348633</v>
          </cell>
          <cell r="Q69">
            <v>8.8999996185302734</v>
          </cell>
          <cell r="R69">
            <v>61.5</v>
          </cell>
          <cell r="S69">
            <v>2.5999999046325684</v>
          </cell>
          <cell r="T69">
            <v>0.43</v>
          </cell>
          <cell r="U69">
            <v>0.19</v>
          </cell>
          <cell r="V69">
            <v>0</v>
          </cell>
          <cell r="W69">
            <v>0.19</v>
          </cell>
          <cell r="X69">
            <v>0.14000000000000001</v>
          </cell>
          <cell r="Y69">
            <v>0.96</v>
          </cell>
          <cell r="Z69">
            <v>13.891213389121338</v>
          </cell>
          <cell r="AA69">
            <v>14.309623430962343</v>
          </cell>
          <cell r="AC69">
            <v>13.05439330543933</v>
          </cell>
          <cell r="AD69">
            <v>3120</v>
          </cell>
          <cell r="AE69">
            <v>9.5815899581589949</v>
          </cell>
          <cell r="AF69">
            <v>2290</v>
          </cell>
          <cell r="AG69">
            <v>13.472803347280335</v>
          </cell>
          <cell r="AH69">
            <v>3220</v>
          </cell>
          <cell r="AI69">
            <v>9.7489539748953966</v>
          </cell>
          <cell r="AJ69">
            <v>2330</v>
          </cell>
          <cell r="AK69">
            <v>10</v>
          </cell>
          <cell r="AL69">
            <v>20</v>
          </cell>
          <cell r="AM69">
            <v>0</v>
          </cell>
          <cell r="AN69">
            <v>0</v>
          </cell>
          <cell r="AO69">
            <v>0</v>
          </cell>
          <cell r="AP69">
            <v>0</v>
          </cell>
          <cell r="AQ69">
            <v>0</v>
          </cell>
          <cell r="AR69">
            <v>0</v>
          </cell>
          <cell r="AS69" t="str">
            <v>Organic table  (ITAB &amp;AFZ)</v>
          </cell>
        </row>
        <row r="70">
          <cell r="A70" t="str">
            <v>Vetch common leaves</v>
          </cell>
          <cell r="C70" t="str">
            <v xml:space="preserve">Dehydrated forage </v>
          </cell>
          <cell r="D70">
            <v>19.3</v>
          </cell>
          <cell r="E70">
            <v>23</v>
          </cell>
          <cell r="F70">
            <v>25.4</v>
          </cell>
          <cell r="G70">
            <v>2.5</v>
          </cell>
          <cell r="H70">
            <v>9.8000000000000007</v>
          </cell>
          <cell r="I70">
            <v>0.53</v>
          </cell>
          <cell r="J70">
            <v>0.57999999999999996</v>
          </cell>
          <cell r="K70">
            <v>0.09</v>
          </cell>
          <cell r="L70">
            <v>0</v>
          </cell>
          <cell r="M70">
            <v>0</v>
          </cell>
          <cell r="N70">
            <v>0</v>
          </cell>
          <cell r="T70">
            <v>1.2</v>
          </cell>
          <cell r="U70">
            <v>0.44000000000000006</v>
          </cell>
          <cell r="V70">
            <v>0</v>
          </cell>
          <cell r="X70">
            <v>0</v>
          </cell>
          <cell r="Y70">
            <v>0</v>
          </cell>
          <cell r="Z70">
            <v>0</v>
          </cell>
          <cell r="AA70">
            <v>0</v>
          </cell>
          <cell r="AC70">
            <v>0</v>
          </cell>
          <cell r="AD70">
            <v>0</v>
          </cell>
          <cell r="AE70">
            <v>0</v>
          </cell>
          <cell r="AF70">
            <v>0</v>
          </cell>
          <cell r="AG70">
            <v>0</v>
          </cell>
          <cell r="AH70">
            <v>0</v>
          </cell>
          <cell r="AI70">
            <v>0</v>
          </cell>
          <cell r="AJ70">
            <v>0</v>
          </cell>
          <cell r="AK70">
            <v>10</v>
          </cell>
          <cell r="AL70">
            <v>15</v>
          </cell>
          <cell r="AM70">
            <v>0</v>
          </cell>
          <cell r="AN70">
            <v>0</v>
          </cell>
          <cell r="AO70">
            <v>0</v>
          </cell>
          <cell r="AP70">
            <v>0</v>
          </cell>
          <cell r="AQ70">
            <v>0</v>
          </cell>
          <cell r="AR70">
            <v>0</v>
          </cell>
          <cell r="AS70" t="str">
            <v xml:space="preserve">Feedipedia </v>
          </cell>
        </row>
        <row r="71">
          <cell r="A71" t="str">
            <v>Wheat 10,5% CP</v>
          </cell>
          <cell r="B71" t="str">
            <v>Blé tendre 10,5% MAT</v>
          </cell>
          <cell r="C71" t="str">
            <v>Cereals</v>
          </cell>
          <cell r="D71">
            <v>86.9</v>
          </cell>
          <cell r="E71">
            <v>10.9</v>
          </cell>
          <cell r="F71">
            <v>2.4</v>
          </cell>
          <cell r="G71">
            <v>1.4</v>
          </cell>
          <cell r="H71">
            <v>1.5</v>
          </cell>
          <cell r="I71">
            <v>0.31</v>
          </cell>
          <cell r="J71">
            <v>0.32999999999999996</v>
          </cell>
          <cell r="K71">
            <v>0.18</v>
          </cell>
          <cell r="L71">
            <v>0.42000000000000004</v>
          </cell>
          <cell r="M71">
            <v>0.13</v>
          </cell>
          <cell r="N71">
            <v>0.25</v>
          </cell>
          <cell r="O71">
            <v>1.8</v>
          </cell>
          <cell r="P71">
            <v>0.08</v>
          </cell>
          <cell r="Q71">
            <v>1.6</v>
          </cell>
          <cell r="R71">
            <v>5.8</v>
          </cell>
          <cell r="S71">
            <v>0.6</v>
          </cell>
          <cell r="T71">
            <v>0.06</v>
          </cell>
          <cell r="U71">
            <v>0.31</v>
          </cell>
          <cell r="V71">
            <v>5.0000000000000001E-3</v>
          </cell>
          <cell r="W71">
            <v>2</v>
          </cell>
          <cell r="X71">
            <v>0.1</v>
          </cell>
          <cell r="Y71">
            <v>0.4</v>
          </cell>
          <cell r="Z71">
            <v>13.723849372384937</v>
          </cell>
          <cell r="AA71">
            <v>14.01673640167364</v>
          </cell>
          <cell r="AB71">
            <v>1.4</v>
          </cell>
          <cell r="AC71">
            <v>13.305439330543933</v>
          </cell>
          <cell r="AD71">
            <v>3180</v>
          </cell>
          <cell r="AE71">
            <v>10.418410041841005</v>
          </cell>
          <cell r="AF71">
            <v>2490</v>
          </cell>
          <cell r="AG71">
            <v>13.514644351464435</v>
          </cell>
          <cell r="AH71">
            <v>3230</v>
          </cell>
          <cell r="AI71">
            <v>10.543933054393305</v>
          </cell>
          <cell r="AJ71">
            <v>2520</v>
          </cell>
          <cell r="AK71">
            <v>50</v>
          </cell>
          <cell r="AL71">
            <v>50</v>
          </cell>
          <cell r="AM71">
            <v>0.25</v>
          </cell>
          <cell r="AN71">
            <v>0.27999999999999997</v>
          </cell>
          <cell r="AO71">
            <v>0.16</v>
          </cell>
          <cell r="AP71">
            <v>0.22000000000000003</v>
          </cell>
          <cell r="AQ71">
            <v>0.38</v>
          </cell>
          <cell r="AR71">
            <v>0.12</v>
          </cell>
          <cell r="AS71" t="str">
            <v>Organic table  (ITAB &amp;AFZ)</v>
          </cell>
        </row>
        <row r="72">
          <cell r="A72" t="str">
            <v>Wheat 11,5% CP</v>
          </cell>
          <cell r="B72" t="str">
            <v>Blé tendre 11,5% MAT</v>
          </cell>
          <cell r="C72" t="str">
            <v>Cereals</v>
          </cell>
          <cell r="D72">
            <v>86.9</v>
          </cell>
          <cell r="E72">
            <v>11.5</v>
          </cell>
          <cell r="F72">
            <v>2.4</v>
          </cell>
          <cell r="G72">
            <v>1.4</v>
          </cell>
          <cell r="H72">
            <v>1.5</v>
          </cell>
          <cell r="I72">
            <v>0.33999999999999997</v>
          </cell>
          <cell r="J72">
            <v>0.36</v>
          </cell>
          <cell r="K72">
            <v>0.2</v>
          </cell>
          <cell r="L72">
            <v>0.45999999999999996</v>
          </cell>
          <cell r="M72">
            <v>0.13999999999999999</v>
          </cell>
          <cell r="N72">
            <v>0.27</v>
          </cell>
          <cell r="O72">
            <v>1.8</v>
          </cell>
          <cell r="P72">
            <v>0.08</v>
          </cell>
          <cell r="Q72">
            <v>1.6</v>
          </cell>
          <cell r="R72">
            <v>5.8</v>
          </cell>
          <cell r="S72">
            <v>0.6</v>
          </cell>
          <cell r="T72">
            <v>0.06</v>
          </cell>
          <cell r="U72">
            <v>0.31</v>
          </cell>
          <cell r="V72">
            <v>5.0000000000000001E-3</v>
          </cell>
          <cell r="W72">
            <v>2</v>
          </cell>
          <cell r="X72">
            <v>0.1</v>
          </cell>
          <cell r="Y72">
            <v>0.4</v>
          </cell>
          <cell r="Z72">
            <v>13.891213389121338</v>
          </cell>
          <cell r="AA72">
            <v>14.142259414225942</v>
          </cell>
          <cell r="AB72">
            <v>1.4</v>
          </cell>
          <cell r="AC72">
            <v>13.472803347280335</v>
          </cell>
          <cell r="AD72">
            <v>3220</v>
          </cell>
          <cell r="AE72">
            <v>10.460251046025105</v>
          </cell>
          <cell r="AF72">
            <v>2500</v>
          </cell>
          <cell r="AG72">
            <v>13.640167364016737</v>
          </cell>
          <cell r="AH72">
            <v>3260</v>
          </cell>
          <cell r="AI72">
            <v>10.543933054393305</v>
          </cell>
          <cell r="AJ72">
            <v>2520</v>
          </cell>
          <cell r="AK72">
            <v>50</v>
          </cell>
          <cell r="AL72">
            <v>50</v>
          </cell>
          <cell r="AM72">
            <v>0.25</v>
          </cell>
          <cell r="AN72">
            <v>0.27999999999999997</v>
          </cell>
          <cell r="AO72">
            <v>0.16</v>
          </cell>
          <cell r="AP72">
            <v>0.22000000000000003</v>
          </cell>
          <cell r="AQ72">
            <v>0.38</v>
          </cell>
          <cell r="AR72">
            <v>0.12</v>
          </cell>
          <cell r="AS72" t="str">
            <v>Organic table  (ITAB &amp;AFZ)</v>
          </cell>
        </row>
        <row r="73">
          <cell r="A73" t="str">
            <v>Wheat 9,5% CP</v>
          </cell>
          <cell r="B73" t="str">
            <v>Blé tendre 9,5% MAT</v>
          </cell>
          <cell r="C73" t="str">
            <v>Cereals</v>
          </cell>
          <cell r="D73">
            <v>86.9</v>
          </cell>
          <cell r="E73">
            <v>9.5</v>
          </cell>
          <cell r="F73">
            <v>2.4</v>
          </cell>
          <cell r="G73">
            <v>1.4</v>
          </cell>
          <cell r="H73">
            <v>1.5</v>
          </cell>
          <cell r="I73">
            <v>0.27999999999999997</v>
          </cell>
          <cell r="J73">
            <v>0.3</v>
          </cell>
          <cell r="K73">
            <v>0.16</v>
          </cell>
          <cell r="L73">
            <v>0.38</v>
          </cell>
          <cell r="M73">
            <v>0.12</v>
          </cell>
          <cell r="N73">
            <v>0.22999999999999998</v>
          </cell>
          <cell r="O73">
            <v>1.8</v>
          </cell>
          <cell r="P73">
            <v>0.08</v>
          </cell>
          <cell r="Q73">
            <v>1.6</v>
          </cell>
          <cell r="R73">
            <v>5.8</v>
          </cell>
          <cell r="S73">
            <v>0.6</v>
          </cell>
          <cell r="T73">
            <v>0.06</v>
          </cell>
          <cell r="U73">
            <v>0.31</v>
          </cell>
          <cell r="V73">
            <v>5.0000000000000001E-3</v>
          </cell>
          <cell r="W73">
            <v>2</v>
          </cell>
          <cell r="X73">
            <v>0.1</v>
          </cell>
          <cell r="Y73">
            <v>0.4</v>
          </cell>
          <cell r="Z73">
            <v>13.807531380753138</v>
          </cell>
          <cell r="AA73">
            <v>14.518828451882845</v>
          </cell>
          <cell r="AB73">
            <v>1.4</v>
          </cell>
          <cell r="AC73">
            <v>13.389121338912133</v>
          </cell>
          <cell r="AD73">
            <v>3200</v>
          </cell>
          <cell r="AE73">
            <v>10.460251046025105</v>
          </cell>
          <cell r="AF73">
            <v>2500</v>
          </cell>
          <cell r="AG73">
            <v>13.598326359832637</v>
          </cell>
          <cell r="AH73">
            <v>3250</v>
          </cell>
          <cell r="AI73">
            <v>10.627615062761507</v>
          </cell>
          <cell r="AJ73">
            <v>2540</v>
          </cell>
          <cell r="AK73">
            <v>50</v>
          </cell>
          <cell r="AL73">
            <v>50</v>
          </cell>
          <cell r="AM73">
            <v>0.25</v>
          </cell>
          <cell r="AN73">
            <v>0.27999999999999997</v>
          </cell>
          <cell r="AO73">
            <v>0.16</v>
          </cell>
          <cell r="AP73">
            <v>0.22000000000000003</v>
          </cell>
          <cell r="AQ73">
            <v>0.38</v>
          </cell>
          <cell r="AR73">
            <v>0.12</v>
          </cell>
          <cell r="AS73" t="str">
            <v>Organic table  (ITAB &amp;AFZ)</v>
          </cell>
        </row>
        <row r="74">
          <cell r="A74" t="str">
            <v>Wheat bran</v>
          </cell>
          <cell r="C74" t="str">
            <v>Wheat by-products</v>
          </cell>
          <cell r="D74">
            <v>87.5</v>
          </cell>
          <cell r="E74">
            <v>10.5</v>
          </cell>
          <cell r="F74">
            <v>2.5999999046325684</v>
          </cell>
          <cell r="G74">
            <v>1.6000000238418579</v>
          </cell>
          <cell r="H74">
            <v>1.6000000238418579</v>
          </cell>
          <cell r="I74">
            <v>0.30999999046325682</v>
          </cell>
          <cell r="J74">
            <v>0.32000000476837159</v>
          </cell>
          <cell r="K74">
            <v>0.17000000476837157</v>
          </cell>
          <cell r="L74">
            <v>0.40999999046325686</v>
          </cell>
          <cell r="M74">
            <v>0.12999999523162842</v>
          </cell>
          <cell r="N74">
            <v>0.24000000953674316</v>
          </cell>
          <cell r="O74">
            <v>17.799999237060547</v>
          </cell>
          <cell r="P74">
            <v>0.80000001192092896</v>
          </cell>
          <cell r="Q74">
            <v>15.199999809265137</v>
          </cell>
          <cell r="R74">
            <v>56.400001525878906</v>
          </cell>
          <cell r="S74">
            <v>5.9000000953674316</v>
          </cell>
          <cell r="T74">
            <v>6.0000002384185791E-2</v>
          </cell>
          <cell r="U74">
            <v>0.32000000476837159</v>
          </cell>
          <cell r="V74">
            <v>5.0000000745058061E-3</v>
          </cell>
          <cell r="W74">
            <v>2.0999999046325684</v>
          </cell>
          <cell r="X74">
            <v>0.1</v>
          </cell>
          <cell r="Y74">
            <v>0.4</v>
          </cell>
          <cell r="Z74">
            <v>13.723849372384937</v>
          </cell>
          <cell r="AA74">
            <v>14.01673640167364</v>
          </cell>
          <cell r="AB74">
            <v>4.8</v>
          </cell>
          <cell r="AC74">
            <v>13.305439330543933</v>
          </cell>
          <cell r="AD74">
            <v>3180</v>
          </cell>
          <cell r="AE74">
            <v>10.418410041841005</v>
          </cell>
          <cell r="AF74">
            <v>2490</v>
          </cell>
          <cell r="AG74">
            <v>13.514644351464435</v>
          </cell>
          <cell r="AH74">
            <v>3230</v>
          </cell>
          <cell r="AI74">
            <v>10.543933054393305</v>
          </cell>
          <cell r="AJ74">
            <v>2520</v>
          </cell>
          <cell r="AK74">
            <v>5</v>
          </cell>
          <cell r="AL74">
            <v>10</v>
          </cell>
          <cell r="AM74">
            <v>0.25</v>
          </cell>
          <cell r="AN74">
            <v>0.2700000047683716</v>
          </cell>
          <cell r="AO74">
            <v>0.15</v>
          </cell>
          <cell r="AP74">
            <v>0.22000000476837159</v>
          </cell>
          <cell r="AQ74">
            <v>0.37000000476837158</v>
          </cell>
          <cell r="AR74">
            <v>0.11000000238418579</v>
          </cell>
          <cell r="AS74" t="str">
            <v>Organic table  (ITAB &amp;AFZ)</v>
          </cell>
        </row>
        <row r="75">
          <cell r="A75" t="str">
            <v>Wheat middlings, all types except durum, organic</v>
          </cell>
          <cell r="C75" t="str">
            <v>Wheat by-products</v>
          </cell>
          <cell r="D75">
            <v>86.599998474121094</v>
          </cell>
          <cell r="E75">
            <v>15.199999809265137</v>
          </cell>
          <cell r="F75">
            <v>6.5999999046325684</v>
          </cell>
          <cell r="G75">
            <v>3.9000000953674316</v>
          </cell>
          <cell r="H75">
            <v>4.4000000953674316</v>
          </cell>
          <cell r="I75">
            <v>0.6</v>
          </cell>
          <cell r="J75">
            <v>0.49000000953674316</v>
          </cell>
          <cell r="K75">
            <v>0.22999999523162842</v>
          </cell>
          <cell r="L75">
            <v>0.54000000953674321</v>
          </cell>
          <cell r="M75">
            <v>0.2</v>
          </cell>
          <cell r="N75">
            <v>0.30999999046325682</v>
          </cell>
          <cell r="O75">
            <v>17.799999237060547</v>
          </cell>
          <cell r="P75">
            <v>0.80000001192092896</v>
          </cell>
          <cell r="Q75">
            <v>15.199999809265137</v>
          </cell>
          <cell r="R75">
            <v>56.400001525878906</v>
          </cell>
          <cell r="S75">
            <v>5.9000000953674316</v>
          </cell>
          <cell r="T75">
            <v>0.11000000238418579</v>
          </cell>
          <cell r="U75">
            <v>0.88000001907348635</v>
          </cell>
          <cell r="V75">
            <v>5.0000000745058061E-3</v>
          </cell>
          <cell r="W75">
            <v>7</v>
          </cell>
          <cell r="X75">
            <v>0.35</v>
          </cell>
          <cell r="Y75">
            <v>1.0899999618530274</v>
          </cell>
          <cell r="Z75">
            <v>11.213389121338912</v>
          </cell>
          <cell r="AA75">
            <v>11.92468619246862</v>
          </cell>
          <cell r="AC75">
            <v>10.753138075313808</v>
          </cell>
          <cell r="AD75">
            <v>2570</v>
          </cell>
          <cell r="AE75">
            <v>7.9497907949790791</v>
          </cell>
          <cell r="AF75">
            <v>1900</v>
          </cell>
          <cell r="AG75">
            <v>11.338912133891213</v>
          </cell>
          <cell r="AH75">
            <v>2710</v>
          </cell>
          <cell r="AI75">
            <v>8.3263598326359833</v>
          </cell>
          <cell r="AJ75">
            <v>1990</v>
          </cell>
          <cell r="AM75">
            <v>0.45999999046325685</v>
          </cell>
          <cell r="AN75">
            <v>0.35999999046325681</v>
          </cell>
          <cell r="AO75">
            <v>0.18999999761581421</v>
          </cell>
          <cell r="AP75">
            <v>0.24000000953674316</v>
          </cell>
          <cell r="AQ75">
            <v>0.43000001907348634</v>
          </cell>
          <cell r="AR75">
            <v>0.1600000023841858</v>
          </cell>
          <cell r="AS75" t="str">
            <v>Organic table  (ITAB &amp;AFZ)</v>
          </cell>
        </row>
        <row r="76">
          <cell r="A76" t="str">
            <v>Whey (liquid)</v>
          </cell>
          <cell r="C76" t="str">
            <v>9.Individual component with low DM</v>
          </cell>
          <cell r="D76">
            <v>6.9</v>
          </cell>
          <cell r="E76">
            <v>0.9</v>
          </cell>
          <cell r="F76">
            <v>5</v>
          </cell>
          <cell r="H76">
            <v>0.7</v>
          </cell>
          <cell r="I76">
            <v>0</v>
          </cell>
          <cell r="J76">
            <v>0</v>
          </cell>
          <cell r="K76">
            <v>0</v>
          </cell>
          <cell r="L76">
            <v>0</v>
          </cell>
          <cell r="M76">
            <v>0</v>
          </cell>
          <cell r="N76">
            <v>0</v>
          </cell>
          <cell r="T76">
            <v>5.0000000000000001E-3</v>
          </cell>
          <cell r="U76">
            <v>0</v>
          </cell>
          <cell r="V76">
            <v>0</v>
          </cell>
          <cell r="X76">
            <v>0</v>
          </cell>
          <cell r="Y76">
            <v>0</v>
          </cell>
          <cell r="Z76">
            <v>0</v>
          </cell>
          <cell r="AA76">
            <v>0</v>
          </cell>
          <cell r="AC76">
            <v>0</v>
          </cell>
          <cell r="AD76">
            <v>0</v>
          </cell>
          <cell r="AE76">
            <v>0</v>
          </cell>
          <cell r="AF76">
            <v>0</v>
          </cell>
          <cell r="AG76">
            <v>0</v>
          </cell>
          <cell r="AH76">
            <v>0</v>
          </cell>
          <cell r="AI76">
            <v>0</v>
          </cell>
          <cell r="AJ76">
            <v>0</v>
          </cell>
          <cell r="AM76">
            <v>0</v>
          </cell>
          <cell r="AN76">
            <v>0</v>
          </cell>
          <cell r="AO76">
            <v>0</v>
          </cell>
          <cell r="AP76">
            <v>0</v>
          </cell>
          <cell r="AQ76">
            <v>0</v>
          </cell>
          <cell r="AR76">
            <v>0</v>
          </cell>
          <cell r="AS76" t="str">
            <v>DAVID J. SCHINGOETHE 1975</v>
          </cell>
        </row>
        <row r="77">
          <cell r="A77" t="str">
            <v>Whey dreid (Full fat)</v>
          </cell>
          <cell r="C77" t="str">
            <v>Dairy productcts</v>
          </cell>
          <cell r="D77">
            <v>96.2</v>
          </cell>
          <cell r="E77">
            <v>13.3</v>
          </cell>
          <cell r="F77">
            <v>0</v>
          </cell>
          <cell r="G77">
            <v>18.8</v>
          </cell>
          <cell r="H77">
            <v>8.1999999999999993</v>
          </cell>
          <cell r="I77">
            <v>0.99</v>
          </cell>
          <cell r="J77">
            <v>0.75</v>
          </cell>
          <cell r="K77">
            <v>0.2</v>
          </cell>
          <cell r="L77">
            <v>0.44000000000000006</v>
          </cell>
          <cell r="M77">
            <v>0.19</v>
          </cell>
          <cell r="N77">
            <v>0.24</v>
          </cell>
          <cell r="O77">
            <v>52.4</v>
          </cell>
          <cell r="P77">
            <v>22.9</v>
          </cell>
          <cell r="Q77">
            <v>38.799999999999997</v>
          </cell>
          <cell r="R77">
            <v>7.2</v>
          </cell>
          <cell r="S77">
            <v>1.8</v>
          </cell>
          <cell r="T77">
            <v>0.80999999999999994</v>
          </cell>
          <cell r="U77">
            <v>0.7</v>
          </cell>
          <cell r="V77">
            <v>0.63200000000000001</v>
          </cell>
          <cell r="X77">
            <v>0</v>
          </cell>
          <cell r="Y77">
            <v>2.06</v>
          </cell>
          <cell r="Z77">
            <v>18.410041841004183</v>
          </cell>
          <cell r="AA77">
            <v>18.410041841004183</v>
          </cell>
          <cell r="AB77">
            <v>6.3</v>
          </cell>
          <cell r="AC77">
            <v>17.90794979079498</v>
          </cell>
          <cell r="AD77">
            <v>4280</v>
          </cell>
          <cell r="AE77">
            <v>14.435146443514645</v>
          </cell>
          <cell r="AF77">
            <v>3450</v>
          </cell>
          <cell r="AG77">
            <v>17.86610878661088</v>
          </cell>
          <cell r="AH77">
            <v>4270</v>
          </cell>
          <cell r="AI77">
            <v>14.393305439330543</v>
          </cell>
          <cell r="AJ77">
            <v>3440</v>
          </cell>
          <cell r="AK77">
            <v>4</v>
          </cell>
          <cell r="AL77">
            <v>15</v>
          </cell>
          <cell r="AM77">
            <v>0.88</v>
          </cell>
          <cell r="AN77">
            <v>0.64</v>
          </cell>
          <cell r="AO77">
            <v>0.19</v>
          </cell>
          <cell r="AP77">
            <v>0.21</v>
          </cell>
          <cell r="AQ77">
            <v>0.4</v>
          </cell>
          <cell r="AR77">
            <v>0.16</v>
          </cell>
          <cell r="AS77" t="str">
            <v>INRA feed table 2002</v>
          </cell>
        </row>
        <row r="78">
          <cell r="A78" t="str">
            <v>Whey dried (low fat)</v>
          </cell>
          <cell r="C78" t="str">
            <v>Dairy productcts</v>
          </cell>
          <cell r="D78">
            <v>95.7</v>
          </cell>
          <cell r="E78">
            <v>14.4</v>
          </cell>
          <cell r="F78">
            <v>0</v>
          </cell>
          <cell r="G78">
            <v>9.9</v>
          </cell>
          <cell r="H78">
            <v>8.5</v>
          </cell>
          <cell r="I78">
            <v>1.0699999999999998</v>
          </cell>
          <cell r="J78">
            <v>0.82</v>
          </cell>
          <cell r="K78">
            <v>0.22000000000000003</v>
          </cell>
          <cell r="L78">
            <v>0.48</v>
          </cell>
          <cell r="M78">
            <v>0.2</v>
          </cell>
          <cell r="N78">
            <v>0.26</v>
          </cell>
          <cell r="O78">
            <v>27.7</v>
          </cell>
          <cell r="P78">
            <v>12.1</v>
          </cell>
          <cell r="Q78">
            <v>20.5</v>
          </cell>
          <cell r="R78">
            <v>3.8</v>
          </cell>
          <cell r="S78">
            <v>0.9</v>
          </cell>
          <cell r="T78">
            <v>0.88000000000000012</v>
          </cell>
          <cell r="U78">
            <v>0.72</v>
          </cell>
          <cell r="V78">
            <v>0.64200000000000002</v>
          </cell>
          <cell r="X78">
            <v>0</v>
          </cell>
          <cell r="Y78">
            <v>2.0699999999999998</v>
          </cell>
          <cell r="Z78">
            <v>16.485355648535563</v>
          </cell>
          <cell r="AA78">
            <v>16.485355648535563</v>
          </cell>
          <cell r="AB78">
            <v>6.5</v>
          </cell>
          <cell r="AC78">
            <v>15.98326359832636</v>
          </cell>
          <cell r="AD78">
            <v>3820</v>
          </cell>
          <cell r="AE78">
            <v>12.594142259414227</v>
          </cell>
          <cell r="AF78">
            <v>3010</v>
          </cell>
          <cell r="AG78">
            <v>15.94142259414226</v>
          </cell>
          <cell r="AH78">
            <v>3810</v>
          </cell>
          <cell r="AI78">
            <v>12.552301255230125</v>
          </cell>
          <cell r="AJ78">
            <v>3000</v>
          </cell>
          <cell r="AK78">
            <v>4</v>
          </cell>
          <cell r="AL78">
            <v>15</v>
          </cell>
          <cell r="AM78">
            <v>0.95</v>
          </cell>
          <cell r="AN78">
            <v>0.7</v>
          </cell>
          <cell r="AO78">
            <v>0.2</v>
          </cell>
          <cell r="AP78">
            <v>0.23</v>
          </cell>
          <cell r="AQ78" t="str">
            <v>0..43</v>
          </cell>
          <cell r="AR78">
            <v>0.18</v>
          </cell>
          <cell r="AS78" t="str">
            <v>INRA feed table 2002</v>
          </cell>
        </row>
        <row r="79">
          <cell r="A79" t="str">
            <v>Whey, acid or sweet, dehydrated</v>
          </cell>
          <cell r="C79" t="str">
            <v>Dairy productcts</v>
          </cell>
          <cell r="D79">
            <v>96.699996948242188</v>
          </cell>
          <cell r="E79">
            <v>11.800000190734863</v>
          </cell>
          <cell r="F79">
            <v>0</v>
          </cell>
          <cell r="G79">
            <v>2.5</v>
          </cell>
          <cell r="H79">
            <v>8</v>
          </cell>
          <cell r="I79">
            <v>0.88000001907348635</v>
          </cell>
          <cell r="J79">
            <v>0.65999999046325686</v>
          </cell>
          <cell r="K79">
            <v>0.17999999523162841</v>
          </cell>
          <cell r="L79">
            <v>0.39000000953674319</v>
          </cell>
          <cell r="M79">
            <v>0.1600000023841858</v>
          </cell>
          <cell r="N79">
            <v>0.20999999046325685</v>
          </cell>
          <cell r="O79">
            <v>29.299999237060547</v>
          </cell>
          <cell r="P79">
            <v>12.800000190734863</v>
          </cell>
          <cell r="Q79">
            <v>21.700000762939453</v>
          </cell>
          <cell r="R79">
            <v>4</v>
          </cell>
          <cell r="S79">
            <v>1</v>
          </cell>
          <cell r="T79">
            <v>0.76999998092651367</v>
          </cell>
          <cell r="U79">
            <v>0.68000001907348628</v>
          </cell>
          <cell r="V79">
            <v>0.63099999427795406</v>
          </cell>
          <cell r="W79">
            <v>0</v>
          </cell>
          <cell r="X79">
            <v>0.15</v>
          </cell>
          <cell r="Y79">
            <v>2.0700000762939452</v>
          </cell>
          <cell r="Z79">
            <v>15.355648535564853</v>
          </cell>
          <cell r="AA79">
            <v>15.355648535564853</v>
          </cell>
          <cell r="AC79">
            <v>14.895397489539748</v>
          </cell>
          <cell r="AD79">
            <v>3560</v>
          </cell>
          <cell r="AE79">
            <v>11.757322175732218</v>
          </cell>
          <cell r="AF79">
            <v>2810</v>
          </cell>
          <cell r="AG79">
            <v>14.853556485355648</v>
          </cell>
          <cell r="AH79">
            <v>3550</v>
          </cell>
          <cell r="AI79">
            <v>11.715481171548117</v>
          </cell>
          <cell r="AJ79">
            <v>2800</v>
          </cell>
          <cell r="AK79">
            <v>4</v>
          </cell>
          <cell r="AL79">
            <v>15</v>
          </cell>
          <cell r="AM79">
            <v>0.79000000953674321</v>
          </cell>
          <cell r="AN79">
            <v>0.55999999046325688</v>
          </cell>
          <cell r="AO79">
            <v>0.1600000023841858</v>
          </cell>
          <cell r="AP79">
            <v>0.18999999761581421</v>
          </cell>
          <cell r="AQ79">
            <v>0.35</v>
          </cell>
          <cell r="AR79">
            <v>0.13999999761581422</v>
          </cell>
          <cell r="AS79" t="str">
            <v>Organic table  (ITAB &amp;AFZ)</v>
          </cell>
        </row>
        <row r="80">
          <cell r="A80" t="str">
            <v>White Lupine</v>
          </cell>
          <cell r="C80" t="str">
            <v>Legume seeds</v>
          </cell>
          <cell r="D80">
            <v>87.5</v>
          </cell>
          <cell r="E80">
            <v>32.900001525878906</v>
          </cell>
          <cell r="F80">
            <v>11.800000190734863</v>
          </cell>
          <cell r="G80">
            <v>6.6999998092651367</v>
          </cell>
          <cell r="H80">
            <v>3.4000000953674316</v>
          </cell>
          <cell r="I80">
            <v>1.6100000381469726</v>
          </cell>
          <cell r="J80">
            <v>1.2300000190734863</v>
          </cell>
          <cell r="K80">
            <v>0.25999999046325684</v>
          </cell>
          <cell r="L80">
            <v>0.81000003814697263</v>
          </cell>
          <cell r="M80">
            <v>0.22999999523162842</v>
          </cell>
          <cell r="N80">
            <v>0.55000000000000004</v>
          </cell>
          <cell r="O80">
            <v>7.4000000953674316</v>
          </cell>
          <cell r="P80">
            <v>2</v>
          </cell>
          <cell r="Q80">
            <v>49.099998474121094</v>
          </cell>
          <cell r="R80">
            <v>14.699999809265137</v>
          </cell>
          <cell r="S80">
            <v>8.3000001907348633</v>
          </cell>
          <cell r="T80">
            <v>0.25999999046325684</v>
          </cell>
          <cell r="U80">
            <v>0.35999999046325681</v>
          </cell>
          <cell r="V80">
            <v>2.8999999999999998E-2</v>
          </cell>
          <cell r="W80">
            <v>2.2000000476837158</v>
          </cell>
          <cell r="X80">
            <v>0.13999999761581422</v>
          </cell>
          <cell r="Y80">
            <v>0.97</v>
          </cell>
          <cell r="Z80">
            <v>14.560669456066945</v>
          </cell>
          <cell r="AA80">
            <v>15.481171548117155</v>
          </cell>
          <cell r="AB80">
            <v>1.7999999523162842</v>
          </cell>
          <cell r="AC80">
            <v>13.556485355648535</v>
          </cell>
          <cell r="AD80">
            <v>3240</v>
          </cell>
          <cell r="AE80">
            <v>8.8702928870292883</v>
          </cell>
          <cell r="AF80">
            <v>2120</v>
          </cell>
          <cell r="AG80">
            <v>14.225941422594142</v>
          </cell>
          <cell r="AH80">
            <v>3400</v>
          </cell>
          <cell r="AI80">
            <v>9.456066945606695</v>
          </cell>
          <cell r="AJ80">
            <v>2260</v>
          </cell>
          <cell r="AK80">
            <v>5</v>
          </cell>
          <cell r="AL80">
            <v>10</v>
          </cell>
          <cell r="AM80">
            <v>1.3199999809265137</v>
          </cell>
          <cell r="AN80">
            <v>0.96000003814697266</v>
          </cell>
          <cell r="AO80">
            <v>0.2</v>
          </cell>
          <cell r="AP80">
            <v>0.40999999046325686</v>
          </cell>
          <cell r="AQ80">
            <v>0.60999999046325681</v>
          </cell>
          <cell r="AR80">
            <v>0</v>
          </cell>
          <cell r="AS80" t="str">
            <v>Organic table  (ITAB &amp;AFZ)</v>
          </cell>
        </row>
        <row r="81">
          <cell r="A81" t="str">
            <v>White Lupine leaves</v>
          </cell>
          <cell r="C81" t="str">
            <v xml:space="preserve">Forage </v>
          </cell>
          <cell r="D81">
            <v>20.2</v>
          </cell>
          <cell r="E81">
            <v>21.5</v>
          </cell>
          <cell r="F81">
            <v>23.5</v>
          </cell>
          <cell r="G81">
            <v>3.1</v>
          </cell>
          <cell r="H81">
            <v>8</v>
          </cell>
          <cell r="I81">
            <v>0</v>
          </cell>
          <cell r="J81">
            <v>0</v>
          </cell>
          <cell r="K81">
            <v>0</v>
          </cell>
          <cell r="L81">
            <v>0</v>
          </cell>
          <cell r="M81">
            <v>0</v>
          </cell>
          <cell r="N81">
            <v>0</v>
          </cell>
          <cell r="T81">
            <v>1.27</v>
          </cell>
          <cell r="U81">
            <v>0.26</v>
          </cell>
          <cell r="V81">
            <v>0</v>
          </cell>
          <cell r="X81">
            <v>0</v>
          </cell>
          <cell r="Y81">
            <v>0</v>
          </cell>
          <cell r="Z81">
            <v>0</v>
          </cell>
          <cell r="AA81">
            <v>0</v>
          </cell>
          <cell r="AC81">
            <v>0</v>
          </cell>
          <cell r="AD81">
            <v>0</v>
          </cell>
          <cell r="AE81">
            <v>0</v>
          </cell>
          <cell r="AF81">
            <v>0</v>
          </cell>
          <cell r="AG81">
            <v>0</v>
          </cell>
          <cell r="AH81">
            <v>0</v>
          </cell>
          <cell r="AI81">
            <v>0</v>
          </cell>
          <cell r="AJ81">
            <v>0</v>
          </cell>
          <cell r="AK81">
            <v>10</v>
          </cell>
          <cell r="AL81">
            <v>15</v>
          </cell>
          <cell r="AM81">
            <v>0</v>
          </cell>
          <cell r="AN81">
            <v>0</v>
          </cell>
          <cell r="AO81">
            <v>0</v>
          </cell>
          <cell r="AP81">
            <v>0</v>
          </cell>
          <cell r="AQ81">
            <v>0</v>
          </cell>
          <cell r="AR81">
            <v>0</v>
          </cell>
          <cell r="AS81" t="str">
            <v xml:space="preserve">Feedipedia </v>
          </cell>
        </row>
        <row r="82">
          <cell r="A82" t="str">
            <v>Yeast dried</v>
          </cell>
          <cell r="C82" t="str">
            <v xml:space="preserve">Other plant product </v>
          </cell>
          <cell r="D82">
            <v>93.3</v>
          </cell>
          <cell r="E82">
            <v>46.5</v>
          </cell>
          <cell r="F82">
            <v>1.8</v>
          </cell>
          <cell r="G82">
            <v>3.6</v>
          </cell>
          <cell r="H82">
            <v>7.1</v>
          </cell>
          <cell r="I82">
            <v>0.69000000000000006</v>
          </cell>
          <cell r="J82">
            <v>0.39</v>
          </cell>
          <cell r="K82">
            <v>0.15</v>
          </cell>
          <cell r="L82">
            <v>0.48</v>
          </cell>
          <cell r="M82">
            <v>4.9000000000000002E-2</v>
          </cell>
          <cell r="N82">
            <v>0.32999999999999996</v>
          </cell>
          <cell r="T82">
            <v>0.03</v>
          </cell>
          <cell r="U82">
            <v>1.31</v>
          </cell>
          <cell r="V82">
            <v>0.18</v>
          </cell>
          <cell r="X82">
            <v>0.24</v>
          </cell>
          <cell r="Y82">
            <v>0</v>
          </cell>
          <cell r="Z82">
            <v>17.11297071129707</v>
          </cell>
          <cell r="AA82">
            <v>0</v>
          </cell>
          <cell r="AC82">
            <v>14.518828451882845</v>
          </cell>
          <cell r="AD82">
            <v>3470</v>
          </cell>
          <cell r="AE82">
            <v>10.418410041841005</v>
          </cell>
          <cell r="AF82">
            <v>2490</v>
          </cell>
          <cell r="AG82">
            <v>0</v>
          </cell>
          <cell r="AH82">
            <v>0</v>
          </cell>
          <cell r="AI82">
            <v>0</v>
          </cell>
          <cell r="AJ82">
            <v>0</v>
          </cell>
          <cell r="AK82">
            <v>5</v>
          </cell>
          <cell r="AL82">
            <v>10</v>
          </cell>
          <cell r="AM82">
            <v>0</v>
          </cell>
          <cell r="AN82">
            <v>0</v>
          </cell>
          <cell r="AO82">
            <v>0</v>
          </cell>
          <cell r="AP82">
            <v>0</v>
          </cell>
          <cell r="AQ82">
            <v>0</v>
          </cell>
          <cell r="AR82">
            <v>0</v>
          </cell>
          <cell r="AS82" t="str">
            <v>French table and Feedipedia</v>
          </cell>
        </row>
        <row r="83">
          <cell r="A83" t="str">
            <v>luzerne</v>
          </cell>
        </row>
      </sheetData>
      <sheetData sheetId="3"/>
      <sheetData sheetId="4" refreshError="1"/>
      <sheetData sheetId="5" refreshError="1"/>
      <sheetData sheetId="6" refreshError="1"/>
      <sheetData sheetId="7" refreshError="1"/>
      <sheetData sheetId="8" refreshError="1"/>
      <sheetData sheetId="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eedstuff" displayName="Feedstuff" ref="A2:AM195" totalsRowShown="0" headerRowDxfId="234" dataDxfId="232" headerRowBorderDxfId="233" tableBorderDxfId="231">
  <autoFilter ref="A2:AM195" xr:uid="{00000000-0009-0000-0100-000001000000}"/>
  <sortState xmlns:xlrd2="http://schemas.microsoft.com/office/spreadsheetml/2017/richdata2" ref="A3:AM76">
    <sortCondition ref="A2:A76"/>
  </sortState>
  <tableColumns count="39">
    <tableColumn id="1" xr3:uid="{00000000-0010-0000-0000-000001000000}" name="Feedstuffs" dataDxfId="230" totalsRowDxfId="229"/>
    <tableColumn id="2" xr3:uid="{00000000-0010-0000-0000-000002000000}" name="Matière première" dataDxfId="228" totalsRowDxfId="227"/>
    <tableColumn id="3" xr3:uid="{00000000-0010-0000-0000-000003000000}" name="Category" dataDxfId="226" totalsRowDxfId="225"/>
    <tableColumn id="4" xr3:uid="{00000000-0010-0000-0000-000004000000}" name="DM %" dataDxfId="224" totalsRowDxfId="223"/>
    <tableColumn id="5" xr3:uid="{00000000-0010-0000-0000-000005000000}" name="CP % " dataDxfId="222" totalsRowDxfId="221"/>
    <tableColumn id="6" xr3:uid="{00000000-0010-0000-0000-000006000000}" name="Fiber % " dataDxfId="220" totalsRowDxfId="219"/>
    <tableColumn id="7" xr3:uid="{00000000-0010-0000-0000-000007000000}" name="Fat % " dataDxfId="218" totalsRowDxfId="217"/>
    <tableColumn id="8" xr3:uid="{00000000-0010-0000-0000-000008000000}" name="Ash % " dataDxfId="216" totalsRowDxfId="215"/>
    <tableColumn id="9" xr3:uid="{00000000-0010-0000-0000-000009000000}" name="LYS % " dataDxfId="214" totalsRowDxfId="213"/>
    <tableColumn id="10" xr3:uid="{00000000-0010-0000-0000-00000A000000}" name="THR % " dataDxfId="212" totalsRowDxfId="211"/>
    <tableColumn id="11" xr3:uid="{00000000-0010-0000-0000-00000B000000}" name="MET % " dataDxfId="210" totalsRowDxfId="209"/>
    <tableColumn id="12" xr3:uid="{00000000-0010-0000-0000-00000C000000}" name="CYS % " dataDxfId="208" totalsRowDxfId="207"/>
    <tableColumn id="13" xr3:uid="{00000000-0010-0000-0000-00000D000000}" name="MET+CYS % " dataDxfId="206" totalsRowDxfId="205"/>
    <tableColumn id="14" xr3:uid="{00000000-0010-0000-0000-00000E000000}" name="TRY % " dataDxfId="204" totalsRowDxfId="203"/>
    <tableColumn id="15" xr3:uid="{00000000-0010-0000-0000-00000F000000}" name="C16:0 g/Kg Fat" dataDxfId="202" totalsRowDxfId="201"/>
    <tableColumn id="16" xr3:uid="{00000000-0010-0000-0000-000010000000}" name="C18:0 g/Kg Fat" dataDxfId="200" totalsRowDxfId="199"/>
    <tableColumn id="17" xr3:uid="{00000000-0010-0000-0000-000011000000}" name="C18:1 g/Kg Fat (Oleic)" dataDxfId="198" totalsRowDxfId="197"/>
    <tableColumn id="18" xr3:uid="{00000000-0010-0000-0000-000012000000}" name="C18:2 g/Kg Fat (linoleic)" dataDxfId="196" totalsRowDxfId="195"/>
    <tableColumn id="19" xr3:uid="{00000000-0010-0000-0000-000013000000}" name="C18:3 g/Kg Fat (Alpha linolenic)" dataDxfId="194" totalsRowDxfId="193"/>
    <tableColumn id="20" xr3:uid="{00000000-0010-0000-0000-000014000000}" name="Ca g/kg " dataDxfId="192" totalsRowDxfId="191"/>
    <tableColumn id="21" xr3:uid="{00000000-0010-0000-0000-000015000000}" name="P g/kg " dataDxfId="190" totalsRowDxfId="189"/>
    <tableColumn id="22" xr3:uid="{00000000-0010-0000-0000-000016000000}" name="Phytate P g/kg " dataDxfId="188" totalsRowDxfId="187"/>
    <tableColumn id="23" xr3:uid="{00000000-0010-0000-0000-000017000000}" name="Mg g/kg " dataDxfId="186" totalsRowDxfId="185"/>
    <tableColumn id="24" xr3:uid="{00000000-0010-0000-0000-000018000000}" name="K g/kg as fed" dataDxfId="184" totalsRowDxfId="183"/>
    <tableColumn id="25" xr3:uid="{00000000-0010-0000-0000-000019000000}" name="Na g/kg " dataDxfId="182" totalsRowDxfId="181"/>
    <tableColumn id="26" xr3:uid="{00000000-0010-0000-0000-00001A000000}" name="EMAn roaster MJ/Kg " dataDxfId="180" totalsRowDxfId="179"/>
    <tableColumn id="27" xr3:uid="{00000000-0010-0000-0000-00001B000000}" name="EMAn broiler MJ/kg " dataDxfId="178" totalsRowDxfId="177"/>
    <tableColumn id="28" xr3:uid="{00000000-0010-0000-0000-00001C000000}" name="%  max_x000a_&lt; 28 day broiler" dataDxfId="176" totalsRowDxfId="175"/>
    <tableColumn id="29" xr3:uid="{00000000-0010-0000-0000-00001D000000}" name="%  max_x000a_broiler" dataDxfId="174" totalsRowDxfId="173"/>
    <tableColumn id="30" xr3:uid="{00000000-0010-0000-0000-00001E000000}" name="%  max_x000a_ Hen" dataDxfId="172" totalsRowDxfId="171"/>
    <tableColumn id="31" xr3:uid="{00000000-0010-0000-0000-00001F000000}" name="Avail. P Hen g/kg " dataDxfId="170" totalsRowDxfId="169"/>
    <tableColumn id="32" xr3:uid="{00000000-0010-0000-0000-000020000000}" name="Avail. P broiler g/kg " dataDxfId="168" totalsRowDxfId="167"/>
    <tableColumn id="33" xr3:uid="{00000000-0010-0000-0000-000021000000}" name="DIS LYS poultry % " dataDxfId="166" totalsRowDxfId="165"/>
    <tableColumn id="34" xr3:uid="{00000000-0010-0000-0000-000022000000}" name="DIS THR poultry % " dataDxfId="164" totalsRowDxfId="163"/>
    <tableColumn id="35" xr3:uid="{00000000-0010-0000-0000-000023000000}" name="DIS MET poultry % " dataDxfId="162" totalsRowDxfId="161"/>
    <tableColumn id="36" xr3:uid="{00000000-0010-0000-0000-000024000000}" name="DIS CYS poultry % " dataDxfId="160" totalsRowDxfId="159"/>
    <tableColumn id="37" xr3:uid="{00000000-0010-0000-0000-000025000000}" name="DIS MET+CYS poultry % " dataDxfId="158" totalsRowDxfId="157"/>
    <tableColumn id="38" xr3:uid="{00000000-0010-0000-0000-000026000000}" name="DIS TRY poultry % " dataDxfId="156" totalsRowDxfId="155"/>
    <tableColumn id="39" xr3:uid="{00000000-0010-0000-0000-000027000000}" name="Source " dataDxfId="154" totalsRowDxfId="153"/>
  </tableColumns>
  <tableStyleInfo name="TableStyleMedium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equirment" displayName="Requirment" ref="A1:AR150" totalsRowShown="0" headerRowDxfId="152" dataDxfId="150" headerRowBorderDxfId="151" tableBorderDxfId="149">
  <autoFilter ref="A1:AR150" xr:uid="{00000000-0009-0000-0100-000002000000}"/>
  <sortState xmlns:xlrd2="http://schemas.microsoft.com/office/spreadsheetml/2017/richdata2" ref="A2:AR31">
    <sortCondition ref="A1:A31"/>
  </sortState>
  <tableColumns count="44">
    <tableColumn id="1" xr3:uid="{00000000-0010-0000-0100-000001000000}" name="Obj_reference" dataDxfId="148">
      <calculatedColumnFormula>Requirment[[#This Row],[Production]]&amp;"_"&amp;Requirment[[#This Row],[Scenarios ]]&amp;"_"&amp;Requirment[[#This Row],[Nb phasis]]&amp;"_"&amp;Requirment[[#This Row],[Formula_Name]]</calculatedColumnFormula>
    </tableColumn>
    <tableColumn id="32" xr3:uid="{00000000-0010-0000-0100-000020000000}" name="Scenarios_reference" dataDxfId="147">
      <calculatedColumnFormula>Requirment[[#This Row],[Production]]&amp;"_"&amp;Requirment[[#This Row],[Scenarios ]]&amp;"_"&amp;Requirment[[#This Row],[Nb phasis]]</calculatedColumnFormula>
    </tableColumn>
    <tableColumn id="2" xr3:uid="{00000000-0010-0000-0100-000002000000}" name="Production" dataDxfId="146"/>
    <tableColumn id="3" xr3:uid="{00000000-0010-0000-0100-000003000000}" name="Scenarios " dataDxfId="145"/>
    <tableColumn id="4" xr3:uid="{00000000-0010-0000-0100-000004000000}" name="Nb phasis" dataDxfId="144"/>
    <tableColumn id="5" xr3:uid="{00000000-0010-0000-0100-000005000000}" name="Formula_Name" dataDxfId="143"/>
    <tableColumn id="6" xr3:uid="{00000000-0010-0000-0100-000006000000}" name="Duration" dataDxfId="142"/>
    <tableColumn id="7" xr3:uid="{00000000-0010-0000-0100-000007000000}" name="Country" dataDxfId="141"/>
    <tableColumn id="33" xr3:uid="{00000000-0010-0000-0100-000021000000}" name="Type of animals to select ration limitation levels" dataDxfId="140"/>
    <tableColumn id="8" xr3:uid="{00000000-0010-0000-0100-000008000000}" name="F1_ME Min" dataDxfId="139"/>
    <tableColumn id="9" xr3:uid="{00000000-0010-0000-0100-000009000000}" name="F1_CP Min" dataDxfId="138"/>
    <tableColumn id="10" xr3:uid="{00000000-0010-0000-0100-00000A000000}" name="F1_FAT Min" dataDxfId="137"/>
    <tableColumn id="11" xr3:uid="{00000000-0010-0000-0100-00000B000000}" name="F1_CF Min" dataDxfId="136"/>
    <tableColumn id="12" xr3:uid="{00000000-0010-0000-0100-00000C000000}" name="F1_Ca Min" dataDxfId="135"/>
    <tableColumn id="13" xr3:uid="{00000000-0010-0000-0100-00000D000000}" name="F1_P Min" dataDxfId="134"/>
    <tableColumn id="14" xr3:uid="{00000000-0010-0000-0100-00000E000000}" name="F1_Na Min" dataDxfId="133"/>
    <tableColumn id="35" xr3:uid="{00000000-0010-0000-0100-000023000000}" name="F1 Lys tot min" dataDxfId="132"/>
    <tableColumn id="15" xr3:uid="{00000000-0010-0000-0100-00000F000000}" name="F1_Lys DIS min" dataDxfId="131"/>
    <tableColumn id="34" xr3:uid="{00000000-0010-0000-0100-000022000000}" name="F1_Met tot Max" dataDxfId="130">
      <calculatedColumnFormula>(Requirment[[#This Row],[F1_Met DIS Min]]/Requirment[[#This Row],[F1_Lys DIS min]])*Requirment[[#This Row],[F1 Lys tot min]]</calculatedColumnFormula>
    </tableColumn>
    <tableColumn id="16" xr3:uid="{00000000-0010-0000-0100-000010000000}" name="F1_Met DIS Min" dataDxfId="129"/>
    <tableColumn id="36" xr3:uid="{00000000-0010-0000-0100-000024000000}" name="F1_Met+Cys Tot Min" dataDxfId="128">
      <calculatedColumnFormula>(Requirment[[#This Row],[F1_Met+Cys DIS Min]]/Requirment[[#This Row],[F1_Lys DIS min]])*Requirment[[#This Row],[F1 Lys tot min]]</calculatedColumnFormula>
    </tableColumn>
    <tableColumn id="17" xr3:uid="{00000000-0010-0000-0100-000011000000}" name="F1_Met+Cys DIS Min" dataDxfId="127"/>
    <tableColumn id="37" xr3:uid="{00000000-0010-0000-0100-000025000000}" name="F1_Thr tot Min" dataDxfId="126">
      <calculatedColumnFormula>(Requirment[[#This Row],[F1_Thr DIS Min]]/Requirment[[#This Row],[F1_Lys DIS min]])*Requirment[[#This Row],[F1 Lys tot min]]</calculatedColumnFormula>
    </tableColumn>
    <tableColumn id="18" xr3:uid="{00000000-0010-0000-0100-000012000000}" name="F1_Thr DIS Min" dataDxfId="125"/>
    <tableColumn id="38" xr3:uid="{00000000-0010-0000-0100-000026000000}" name="F1_try tot Min" dataDxfId="124">
      <calculatedColumnFormula>(Requirment[[#This Row],[F1_try DIS Min]]/Requirment[[#This Row],[F1_Lys DIS min]])*Requirment[[#This Row],[F1 Lys tot min]]</calculatedColumnFormula>
    </tableColumn>
    <tableColumn id="19" xr3:uid="{00000000-0010-0000-0100-000013000000}" name="F1_try DIS Min" dataDxfId="123"/>
    <tableColumn id="20" xr3:uid="{00000000-0010-0000-0100-000014000000}" name="F1_ME Max" dataDxfId="122"/>
    <tableColumn id="21" xr3:uid="{00000000-0010-0000-0100-000015000000}" name="F1_CP Max" dataDxfId="121"/>
    <tableColumn id="22" xr3:uid="{00000000-0010-0000-0100-000016000000}" name="F1_FAT Max" dataDxfId="120"/>
    <tableColumn id="23" xr3:uid="{00000000-0010-0000-0100-000017000000}" name="F1_CF Max" dataDxfId="119"/>
    <tableColumn id="24" xr3:uid="{00000000-0010-0000-0100-000018000000}" name="F1_Ca Max" dataDxfId="118"/>
    <tableColumn id="25" xr3:uid="{00000000-0010-0000-0100-000019000000}" name="F1_P Max" dataDxfId="117"/>
    <tableColumn id="26" xr3:uid="{00000000-0010-0000-0100-00001A000000}" name="F1_Na Max" dataDxfId="116"/>
    <tableColumn id="40" xr3:uid="{00000000-0010-0000-0100-000028000000}" name="F1_Lys Tot Max " dataDxfId="115"/>
    <tableColumn id="27" xr3:uid="{00000000-0010-0000-0100-00001B000000}" name="F1_Lys DIS Max" dataDxfId="114"/>
    <tableColumn id="41" xr3:uid="{00000000-0010-0000-0100-000029000000}" name="F1_Met Tot Max2" dataDxfId="113">
      <calculatedColumnFormula>(Requirment[[#This Row],[F1_Met DIS Max]]/Requirment[[#This Row],[F1_Lys DIS Max]])*Requirment[[#This Row],[F1_Lys Tot Max ]]</calculatedColumnFormula>
    </tableColumn>
    <tableColumn id="28" xr3:uid="{00000000-0010-0000-0100-00001C000000}" name="F1_Met DIS Max" dataDxfId="112"/>
    <tableColumn id="42" xr3:uid="{00000000-0010-0000-0100-00002A000000}" name="F1_Met+Cys Tot max" dataDxfId="111">
      <calculatedColumnFormula>(Requirment[[#This Row],[F1_Met+Cys DIS Max]]/Requirment[[#This Row],[F1_Lys DIS Max]])*Requirment[[#This Row],[F1_Lys Tot Max ]]</calculatedColumnFormula>
    </tableColumn>
    <tableColumn id="29" xr3:uid="{00000000-0010-0000-0100-00001D000000}" name="F1_Met+Cys DIS Max" dataDxfId="110"/>
    <tableColumn id="43" xr3:uid="{00000000-0010-0000-0100-00002B000000}" name="F1_Thr tot Max" dataDxfId="109">
      <calculatedColumnFormula>(Requirment[[#This Row],[F1_Thr Max]]/Requirment[[#This Row],[F1_Lys DIS Max]])*Requirment[[#This Row],[F1_Lys Tot Max ]]</calculatedColumnFormula>
    </tableColumn>
    <tableColumn id="30" xr3:uid="{00000000-0010-0000-0100-00001E000000}" name="F1_Thr Max" dataDxfId="108"/>
    <tableColumn id="44" xr3:uid="{00000000-0010-0000-0100-00002C000000}" name="F1_try tot Max" dataDxfId="107">
      <calculatedColumnFormula>(Requirment[[#This Row],[F1_try DIS Max]]/Requirment[[#This Row],[F1_Lys DIS Max]])*Requirment[[#This Row],[F1_Lys Tot Max ]]</calculatedColumnFormula>
    </tableColumn>
    <tableColumn id="31" xr3:uid="{00000000-0010-0000-0100-00001F000000}" name="F1_try DIS Max" dataDxfId="106"/>
    <tableColumn id="39" xr3:uid="{00000000-0010-0000-0100-000027000000}" name="Comments " dataDxfId="105"/>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
  <sheetViews>
    <sheetView topLeftCell="A7" workbookViewId="0">
      <selection activeCell="AW7" sqref="AW7"/>
    </sheetView>
  </sheetViews>
  <sheetFormatPr baseColWidth="10" defaultColWidth="8.7109375" defaultRowHeight="15" x14ac:dyDescent="0.25"/>
  <cols>
    <col min="15" max="48" width="0" hidden="1" customWidth="1"/>
  </cols>
  <sheetData/>
  <sheetProtection algorithmName="SHA-512" hashValue="2k6cV1HMRCsEnZtw3NE8IL42WD+3yPuv9mvJM0Z96w2LWS95iYqCbAojs0pVMCw7pujinzyn3olkUlv/W54xNg==" saltValue="Nddyvm/FD9Q4Xrs63aUiaw=="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dimension ref="A1"/>
  <sheetViews>
    <sheetView workbookViewId="0">
      <selection activeCell="O4" sqref="O4"/>
    </sheetView>
  </sheetViews>
  <sheetFormatPr baseColWidth="10" defaultColWidth="8.7109375" defaultRowHeight="15" x14ac:dyDescent="0.25"/>
  <sheetData/>
  <sheetProtection algorithmName="SHA-512" hashValue="PzeuecA+mIQvLnfBNryHijT1z3IQ3lDe/S5BEMHORO1T7Svv3bfrBkuRUOugx0NP2HXTFPCkxMIdB58suUpoUA==" saltValue="dmBIFHcR4tPSgvwZAzi7aw=="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B1:AO35"/>
  <sheetViews>
    <sheetView tabSelected="1" zoomScale="55" zoomScaleNormal="55" workbookViewId="0">
      <selection activeCell="M11" sqref="M11"/>
    </sheetView>
  </sheetViews>
  <sheetFormatPr baseColWidth="10" defaultColWidth="11.42578125" defaultRowHeight="15" x14ac:dyDescent="0.25"/>
  <cols>
    <col min="1" max="1" width="1.85546875" style="120" customWidth="1"/>
    <col min="2" max="2" width="1.28515625" style="120" customWidth="1"/>
    <col min="3" max="3" width="3.28515625" style="120" customWidth="1"/>
    <col min="4" max="4" width="43.42578125" style="120" customWidth="1"/>
    <col min="5" max="5" width="10.140625" style="120" customWidth="1"/>
    <col min="6" max="6" width="10.85546875" style="120" customWidth="1"/>
    <col min="7" max="7" width="10" style="120" customWidth="1"/>
    <col min="8" max="11" width="8.7109375" style="120" customWidth="1"/>
    <col min="12" max="12" width="9.7109375" style="120" customWidth="1"/>
    <col min="13" max="17" width="8.7109375" style="120" customWidth="1"/>
    <col min="18" max="18" width="12.5703125" style="120" customWidth="1"/>
    <col min="19" max="19" width="8.7109375" style="120" customWidth="1"/>
    <col min="20" max="20" width="9.7109375" style="120" customWidth="1"/>
    <col min="21" max="23" width="8.7109375" style="120" customWidth="1"/>
    <col min="24" max="24" width="1.85546875" style="121" customWidth="1"/>
    <col min="25" max="25" width="12.7109375" style="121" customWidth="1"/>
    <col min="26" max="26" width="11.7109375" style="121" customWidth="1"/>
    <col min="27" max="27" width="10" style="120" customWidth="1"/>
    <col min="28" max="28" width="0.5703125" style="121" customWidth="1"/>
    <col min="29" max="29" width="12" style="120" customWidth="1"/>
    <col min="30" max="30" width="12.85546875" style="120" customWidth="1"/>
    <col min="31" max="31" width="8.140625" style="120" customWidth="1"/>
    <col min="32" max="32" width="4" style="120" customWidth="1"/>
    <col min="33" max="33" width="13.28515625" style="120" customWidth="1"/>
    <col min="34" max="35" width="8.7109375" style="120" customWidth="1"/>
    <col min="36" max="36" width="11" style="120" customWidth="1"/>
    <col min="37" max="37" width="12" style="120" customWidth="1"/>
    <col min="38" max="41" width="8.7109375" style="120" customWidth="1"/>
    <col min="42" max="16384" width="11.42578125" style="120"/>
  </cols>
  <sheetData>
    <row r="1" spans="2:41" ht="7.5" customHeight="1" thickBot="1" x14ac:dyDescent="0.3"/>
    <row r="2" spans="2:41" ht="13.5" customHeight="1" x14ac:dyDescent="0.25">
      <c r="B2" s="122"/>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4"/>
    </row>
    <row r="3" spans="2:41" ht="15.75" x14ac:dyDescent="0.25">
      <c r="B3" s="125"/>
      <c r="C3" s="121"/>
      <c r="D3" s="126" t="s">
        <v>0</v>
      </c>
      <c r="E3" s="217"/>
      <c r="F3" s="217"/>
      <c r="G3" s="217"/>
      <c r="H3" s="121"/>
      <c r="I3" s="127" t="s">
        <v>1</v>
      </c>
      <c r="J3" s="127"/>
      <c r="K3" s="127"/>
      <c r="L3" s="215" t="s">
        <v>387</v>
      </c>
      <c r="M3" s="215"/>
      <c r="N3" s="215"/>
      <c r="O3" s="215"/>
      <c r="P3" s="215"/>
      <c r="Q3" s="215"/>
      <c r="R3" s="215"/>
      <c r="S3" s="121"/>
      <c r="T3" s="121"/>
      <c r="U3" s="121"/>
      <c r="V3" s="121"/>
      <c r="W3" s="121"/>
      <c r="AA3" s="121"/>
      <c r="AC3" s="121"/>
      <c r="AD3" s="121"/>
      <c r="AE3" s="128"/>
    </row>
    <row r="4" spans="2:41" ht="15.75" x14ac:dyDescent="0.25">
      <c r="B4" s="125"/>
      <c r="C4" s="121"/>
      <c r="D4" s="126" t="s">
        <v>2</v>
      </c>
      <c r="E4" s="217"/>
      <c r="F4" s="217"/>
      <c r="G4" s="217"/>
      <c r="H4" s="129"/>
      <c r="I4" s="127" t="s">
        <v>363</v>
      </c>
      <c r="J4" s="127"/>
      <c r="K4" s="127"/>
      <c r="L4" s="215" t="s">
        <v>235</v>
      </c>
      <c r="M4" s="215"/>
      <c r="N4" s="215"/>
      <c r="O4" s="215"/>
      <c r="P4" s="215"/>
      <c r="Q4" s="215"/>
      <c r="R4" s="215"/>
      <c r="S4" s="121"/>
      <c r="T4" s="121"/>
      <c r="U4" s="121"/>
      <c r="V4" s="121"/>
      <c r="W4" s="121"/>
      <c r="AA4" s="121"/>
      <c r="AC4" s="121"/>
      <c r="AD4" s="121"/>
      <c r="AE4" s="128"/>
    </row>
    <row r="5" spans="2:41" ht="15.75" x14ac:dyDescent="0.25">
      <c r="B5" s="125"/>
      <c r="C5" s="121"/>
      <c r="D5" s="126" t="s">
        <v>4</v>
      </c>
      <c r="E5" s="214"/>
      <c r="F5" s="214"/>
      <c r="G5" s="214"/>
      <c r="H5" s="129" t="str">
        <f>TEXT(E5,"aaaammjj")</f>
        <v>19000100</v>
      </c>
      <c r="I5" s="127" t="s">
        <v>5</v>
      </c>
      <c r="J5" s="127"/>
      <c r="K5" s="127"/>
      <c r="L5" s="216" t="str">
        <f>_xlfn.IFNA(VLOOKUP($L$12,Requirment[],7,FALSE)," ")</f>
        <v>63-98 day</v>
      </c>
      <c r="M5" s="216"/>
      <c r="N5" s="216"/>
      <c r="O5" s="216"/>
      <c r="P5" s="216"/>
      <c r="Q5" s="216"/>
      <c r="R5" s="216"/>
      <c r="S5" s="121"/>
      <c r="T5" s="121"/>
      <c r="U5" s="121"/>
      <c r="V5" s="121"/>
      <c r="W5" s="121"/>
      <c r="AA5" s="121"/>
      <c r="AC5" s="121"/>
      <c r="AD5" s="121"/>
      <c r="AE5" s="128"/>
    </row>
    <row r="6" spans="2:41" ht="15.75" x14ac:dyDescent="0.25">
      <c r="B6" s="125"/>
      <c r="C6" s="121"/>
      <c r="D6" s="126" t="s">
        <v>6</v>
      </c>
      <c r="E6" s="214"/>
      <c r="F6" s="214"/>
      <c r="G6" s="214"/>
      <c r="H6" s="121"/>
      <c r="I6" s="127" t="s">
        <v>7</v>
      </c>
      <c r="J6" s="127"/>
      <c r="K6" s="127"/>
      <c r="L6" s="216" t="str">
        <f>_xlfn.IFNA(VLOOKUP($L$12,Requirment[],8,FALSE)," ")</f>
        <v>France</v>
      </c>
      <c r="M6" s="216"/>
      <c r="N6" s="216"/>
      <c r="O6" s="216"/>
      <c r="P6" s="216"/>
      <c r="Q6" s="216"/>
      <c r="R6" s="216"/>
      <c r="S6" s="121"/>
      <c r="T6" s="121"/>
      <c r="U6" s="121"/>
      <c r="V6" s="121"/>
      <c r="W6" s="121"/>
      <c r="AA6" s="121"/>
      <c r="AC6" s="121"/>
      <c r="AD6" s="121"/>
      <c r="AE6" s="128"/>
    </row>
    <row r="7" spans="2:41" ht="15.75" x14ac:dyDescent="0.25">
      <c r="B7" s="125"/>
      <c r="C7" s="121"/>
      <c r="D7" s="126" t="s">
        <v>8</v>
      </c>
      <c r="E7" s="212"/>
      <c r="F7" s="212"/>
      <c r="G7" s="212"/>
      <c r="H7" s="121"/>
      <c r="I7" s="127" t="s">
        <v>9</v>
      </c>
      <c r="J7" s="127"/>
      <c r="K7" s="127"/>
      <c r="L7" s="216" t="str">
        <f>_xlfn.IFNA(VLOOKUP($L$12,Requirment[],9,FALSE)," ")</f>
        <v>broiler</v>
      </c>
      <c r="M7" s="216"/>
      <c r="N7" s="216"/>
      <c r="O7" s="216"/>
      <c r="P7" s="216"/>
      <c r="Q7" s="216"/>
      <c r="R7" s="216"/>
      <c r="S7" s="121"/>
      <c r="T7" s="121"/>
      <c r="U7" s="121"/>
      <c r="V7" s="121"/>
      <c r="W7" s="121"/>
      <c r="AA7" s="121"/>
      <c r="AC7" s="121"/>
      <c r="AD7" s="121"/>
      <c r="AE7" s="128"/>
    </row>
    <row r="8" spans="2:41" ht="15.75" x14ac:dyDescent="0.25">
      <c r="B8" s="125"/>
      <c r="C8" s="121"/>
      <c r="D8" s="126" t="s">
        <v>10</v>
      </c>
      <c r="E8" s="213"/>
      <c r="F8" s="213"/>
      <c r="G8" s="213"/>
      <c r="H8" s="130"/>
      <c r="I8" s="121"/>
      <c r="J8" s="131"/>
      <c r="K8" s="132"/>
      <c r="L8" s="133" t="str">
        <f>IF(L11=0,"SCENARIO NOT AVAILABLE","")</f>
        <v/>
      </c>
      <c r="M8" s="121"/>
      <c r="N8" s="121"/>
      <c r="O8" s="121"/>
      <c r="P8" s="121"/>
      <c r="Q8" s="121"/>
      <c r="R8" s="121"/>
      <c r="S8" s="121"/>
      <c r="T8" s="121"/>
      <c r="U8" s="121"/>
      <c r="V8" s="121"/>
      <c r="W8" s="121"/>
      <c r="AA8" s="121"/>
      <c r="AC8" s="121"/>
      <c r="AD8" s="121"/>
      <c r="AE8" s="128"/>
    </row>
    <row r="9" spans="2:41" ht="15.75" x14ac:dyDescent="0.25">
      <c r="B9" s="125"/>
      <c r="C9" s="121"/>
      <c r="D9" s="126" t="s">
        <v>11</v>
      </c>
      <c r="E9" s="212"/>
      <c r="F9" s="212"/>
      <c r="G9" s="212"/>
      <c r="H9" s="121"/>
      <c r="I9" s="121"/>
      <c r="J9" s="131"/>
      <c r="K9" s="131"/>
      <c r="L9" s="130"/>
      <c r="M9" s="121"/>
      <c r="N9" s="121"/>
      <c r="O9" s="121"/>
      <c r="P9" s="121"/>
      <c r="Q9" s="121"/>
      <c r="R9" s="121"/>
      <c r="S9" s="121"/>
      <c r="T9" s="121"/>
      <c r="U9" s="121"/>
      <c r="V9" s="121"/>
      <c r="W9" s="121" t="s">
        <v>12</v>
      </c>
      <c r="AA9" s="121"/>
      <c r="AC9" s="121"/>
      <c r="AD9" s="121"/>
      <c r="AE9" s="128"/>
    </row>
    <row r="10" spans="2:41" ht="21" x14ac:dyDescent="0.35">
      <c r="B10" s="125"/>
      <c r="C10" s="121"/>
      <c r="D10" s="126" t="s">
        <v>13</v>
      </c>
      <c r="E10" s="214"/>
      <c r="F10" s="214"/>
      <c r="G10" s="214"/>
      <c r="H10" s="121"/>
      <c r="I10" s="121"/>
      <c r="J10" s="131"/>
      <c r="K10" s="131"/>
      <c r="L10" s="119"/>
      <c r="M10" s="121"/>
      <c r="N10" s="121"/>
      <c r="O10" s="121"/>
      <c r="P10" s="121"/>
      <c r="Q10" s="121"/>
      <c r="R10" s="121"/>
      <c r="S10" s="134"/>
      <c r="T10" s="121"/>
      <c r="U10" s="121"/>
      <c r="V10" s="121"/>
      <c r="W10" s="121"/>
      <c r="AA10" s="121"/>
      <c r="AC10" s="121"/>
      <c r="AD10" s="121"/>
      <c r="AE10" s="128"/>
    </row>
    <row r="11" spans="2:41" ht="21" x14ac:dyDescent="0.35">
      <c r="B11" s="125"/>
      <c r="C11" s="121"/>
      <c r="D11" s="126" t="s">
        <v>14</v>
      </c>
      <c r="E11" s="135"/>
      <c r="F11" s="136" t="s">
        <v>15</v>
      </c>
      <c r="G11" s="137"/>
      <c r="H11" s="121"/>
      <c r="I11" s="121"/>
      <c r="J11" s="138"/>
      <c r="K11" s="131"/>
      <c r="L11" s="119">
        <f>COUNTIF(Poultry_Needs!A:A,Tool!L12)</f>
        <v>1</v>
      </c>
      <c r="M11" s="121"/>
      <c r="N11" s="121"/>
      <c r="O11" s="121"/>
      <c r="P11" s="121"/>
      <c r="Q11" s="121"/>
      <c r="R11" s="121"/>
      <c r="S11" s="121"/>
      <c r="T11" s="121"/>
      <c r="U11" s="134"/>
      <c r="V11" s="121"/>
      <c r="W11" s="121"/>
      <c r="AA11" s="121"/>
      <c r="AC11" s="121"/>
      <c r="AD11" s="121"/>
      <c r="AE11" s="128"/>
    </row>
    <row r="12" spans="2:41" s="147" customFormat="1" ht="21" customHeight="1" x14ac:dyDescent="0.25">
      <c r="B12" s="139"/>
      <c r="C12" s="140"/>
      <c r="D12" s="140"/>
      <c r="E12" s="141"/>
      <c r="F12" s="141"/>
      <c r="G12" s="142"/>
      <c r="H12" s="140"/>
      <c r="I12" s="140"/>
      <c r="J12" s="140"/>
      <c r="K12" s="140"/>
      <c r="L12" s="143" t="str">
        <f>L3&amp;"_"&amp;L4</f>
        <v>Broiler_Broiler_2.6 kg alive at 98 days_3 feeds_3_Finishing_Red clover silage_3_Finishing</v>
      </c>
      <c r="M12" s="144"/>
      <c r="N12" s="144"/>
      <c r="O12" s="144"/>
      <c r="P12" s="144"/>
      <c r="Q12" s="140"/>
      <c r="R12" s="140"/>
      <c r="S12" s="140"/>
      <c r="T12" s="140"/>
      <c r="U12" s="140"/>
      <c r="V12" s="140"/>
      <c r="W12" s="140"/>
      <c r="X12" s="140"/>
      <c r="Y12" s="140"/>
      <c r="Z12" s="145"/>
      <c r="AA12" s="145"/>
      <c r="AB12" s="140"/>
      <c r="AC12" s="140"/>
      <c r="AD12" s="140"/>
      <c r="AE12" s="146"/>
    </row>
    <row r="13" spans="2:41" s="161" customFormat="1" ht="57" customHeight="1" x14ac:dyDescent="0.25">
      <c r="B13" s="148"/>
      <c r="C13" s="149"/>
      <c r="D13" s="150" t="s">
        <v>16</v>
      </c>
      <c r="E13" s="151" t="s">
        <v>17</v>
      </c>
      <c r="F13" s="151" t="s">
        <v>18</v>
      </c>
      <c r="G13" s="152" t="s">
        <v>19</v>
      </c>
      <c r="H13" s="152" t="s">
        <v>20</v>
      </c>
      <c r="I13" s="152" t="s">
        <v>21</v>
      </c>
      <c r="J13" s="152" t="s">
        <v>22</v>
      </c>
      <c r="K13" s="152" t="s">
        <v>23</v>
      </c>
      <c r="L13" s="152" t="s">
        <v>24</v>
      </c>
      <c r="M13" s="152" t="s">
        <v>25</v>
      </c>
      <c r="N13" s="152" t="s">
        <v>26</v>
      </c>
      <c r="O13" s="152" t="s">
        <v>27</v>
      </c>
      <c r="P13" s="153" t="s">
        <v>28</v>
      </c>
      <c r="Q13" s="154" t="s">
        <v>29</v>
      </c>
      <c r="R13" s="153" t="s">
        <v>30</v>
      </c>
      <c r="S13" s="195" t="s">
        <v>31</v>
      </c>
      <c r="T13" s="195" t="s">
        <v>32</v>
      </c>
      <c r="U13" s="196" t="s">
        <v>33</v>
      </c>
      <c r="V13" s="156" t="s">
        <v>34</v>
      </c>
      <c r="W13" s="156" t="s">
        <v>35</v>
      </c>
      <c r="X13" s="157"/>
      <c r="Y13" s="152" t="s">
        <v>36</v>
      </c>
      <c r="Z13" s="152" t="str">
        <f>CONCATENATE("Ration limitation level ",L7)</f>
        <v>Ration limitation level broiler</v>
      </c>
      <c r="AA13" s="152" t="s">
        <v>37</v>
      </c>
      <c r="AB13" s="157"/>
      <c r="AC13" s="152" t="s">
        <v>38</v>
      </c>
      <c r="AD13" s="152" t="s">
        <v>39</v>
      </c>
      <c r="AE13" s="158" t="s">
        <v>40</v>
      </c>
      <c r="AF13" s="157"/>
      <c r="AG13" s="159" t="s">
        <v>41</v>
      </c>
      <c r="AH13" s="159" t="s">
        <v>42</v>
      </c>
      <c r="AI13" s="159" t="s">
        <v>43</v>
      </c>
      <c r="AJ13" s="159" t="s">
        <v>44</v>
      </c>
      <c r="AK13" s="159" t="s">
        <v>45</v>
      </c>
      <c r="AL13" s="160" t="s">
        <v>46</v>
      </c>
      <c r="AM13" s="160" t="s">
        <v>47</v>
      </c>
      <c r="AN13" s="155" t="s">
        <v>361</v>
      </c>
      <c r="AO13" s="155" t="s">
        <v>362</v>
      </c>
    </row>
    <row r="14" spans="2:41" x14ac:dyDescent="0.25">
      <c r="B14" s="125"/>
      <c r="C14" s="162">
        <v>1</v>
      </c>
      <c r="D14" s="163"/>
      <c r="E14" s="164">
        <f>_xlfn.IFNA($E$11*F14/100,0)</f>
        <v>0</v>
      </c>
      <c r="F14" s="110">
        <v>0</v>
      </c>
      <c r="G14" s="112">
        <f>_xlfn.IFNA(VLOOKUP(D14,Feedstuff[],26,FALSE),0)</f>
        <v>0</v>
      </c>
      <c r="H14" s="112">
        <f>_xlfn.IFNA(VLOOKUP(D14,Feedstuff[],5,FALSE),0)</f>
        <v>0</v>
      </c>
      <c r="I14" s="112">
        <f>_xlfn.IFNA(VLOOKUP(D14,Feedstuff[],7,FALSE),0)</f>
        <v>0</v>
      </c>
      <c r="J14" s="112">
        <f>_xlfn.IFNA(VLOOKUP(D14,Feedstuff[],6,FALSE),0)</f>
        <v>0</v>
      </c>
      <c r="K14" s="112">
        <f>_xlfn.IFNA(VLOOKUP(D14,Feedstuff[],9,FALSE),0)</f>
        <v>0</v>
      </c>
      <c r="L14" s="112">
        <f>_xlfn.IFNA(VLOOKUP(D14,Feedstuff[],11,FALSE),0)</f>
        <v>0</v>
      </c>
      <c r="M14" s="112">
        <f>_xlfn.IFNA(VLOOKUP(D14,Feedstuff[],13,FALSE),0)</f>
        <v>0</v>
      </c>
      <c r="N14" s="112">
        <f>_xlfn.IFNA(VLOOKUP(D14,Feedstuff[],10,FALSE),0)</f>
        <v>0</v>
      </c>
      <c r="O14" s="112">
        <f>_xlfn.IFNA(VLOOKUP(D14,Feedstuff[],14,FALSE),0)</f>
        <v>0</v>
      </c>
      <c r="P14" s="112">
        <f>_xlfn.IFNA(VLOOKUP(D14,Feedstuff[],33,FALSE),0)</f>
        <v>0</v>
      </c>
      <c r="Q14" s="165">
        <f>_xlfn.IFNA(VLOOKUP(D14,Feedstuff[],35,FALSE),0)</f>
        <v>0</v>
      </c>
      <c r="R14" s="112">
        <f>_xlfn.IFNA(VLOOKUP(D14,Feedstuff[],37,FALSE),0)</f>
        <v>0</v>
      </c>
      <c r="S14" s="112">
        <f>_xlfn.IFNA(VLOOKUP(D14,Feedstuff[],34,FALSE),0)</f>
        <v>0</v>
      </c>
      <c r="T14" s="112">
        <f>_xlfn.IFNA(VLOOKUP(D14,Feedstuff[],38,FALSE),0)</f>
        <v>0</v>
      </c>
      <c r="U14" s="112">
        <f>_xlfn.IFNA(VLOOKUP(D14,Feedstuff[],20,FALSE),0)</f>
        <v>0</v>
      </c>
      <c r="V14" s="112">
        <f>_xlfn.IFNA(VLOOKUP(D14,Feedstuff[],21,FALSE),0)</f>
        <v>0</v>
      </c>
      <c r="W14" s="112">
        <f>_xlfn.IFNA(VLOOKUP(D14,Feedstuff[],25,FALSE),)</f>
        <v>0</v>
      </c>
      <c r="X14" s="166"/>
      <c r="Y14" s="167"/>
      <c r="Z14" s="112" t="str">
        <f>_xlfn.IFNA(IF($L$7="&lt; 28 day broiler",(VLOOKUP(D14,Feedstuff[],28,FALSE)),IF($L$7="broiler",(VLOOKUP(D14,Feedstuff[],29,FALSE)),IF($L$7="Hen",(VLOOKUP(D14,Feedstuff[],30,FALSE)),0))),"0")</f>
        <v>0</v>
      </c>
      <c r="AA14" s="168" t="str">
        <f t="shared" ref="AA14:AA25" si="0">IF(D14&lt;&gt;"",IF($E$13="%",IF(E14&gt;Z14,"SUP",IF(E14=Z14,"MAX","OK")),IF(F14&gt;Z14,"SUP",IF(F14=Z14,"MAX","OK"))),"")</f>
        <v/>
      </c>
      <c r="AB14" s="166"/>
      <c r="AC14" s="169"/>
      <c r="AD14" s="170">
        <f>E14*AC14/1000</f>
        <v>0</v>
      </c>
      <c r="AE14" s="171" t="e">
        <f>F14*AC14/$AD$29</f>
        <v>#DIV/0!</v>
      </c>
      <c r="AF14" s="166"/>
      <c r="AG14" s="172">
        <f>_xlfn.IFNA(VLOOKUP(D14,Feedstuff[],15,FALSE),0)</f>
        <v>0</v>
      </c>
      <c r="AH14" s="172">
        <f>_xlfn.IFNA(VLOOKUP(D13,Feedstuff[],16,FALSE),0)</f>
        <v>0</v>
      </c>
      <c r="AI14" s="172">
        <f>_xlfn.IFNA(VLOOKUP(D14,Feedstuff[],17,FALSE),0)</f>
        <v>0</v>
      </c>
      <c r="AJ14" s="172">
        <f>_xlfn.IFNA(VLOOKUP(D14,Feedstuff[],18,FALSE),0)</f>
        <v>0</v>
      </c>
      <c r="AK14" s="172">
        <f>_xlfn.IFNA(VLOOKUP(D14,Feedstuff[],19,FALSE),0)</f>
        <v>0</v>
      </c>
      <c r="AL14" s="172">
        <f>_xlfn.IFNA(VLOOKUP(D14,Feedstuff[],23,FALSE),0)</f>
        <v>0</v>
      </c>
      <c r="AM14" s="172">
        <f>_xlfn.IFNA(VLOOKUP(D14,Feedstuff[],24,FALSE),0)</f>
        <v>0</v>
      </c>
      <c r="AN14" s="172">
        <f>_xlfn.IFNA(VLOOKUP(D14,Feedstuff[],31,FALSE),0)</f>
        <v>0</v>
      </c>
      <c r="AO14" s="172">
        <f>_xlfn.IFNA(VLOOKUP(D14,Feedstuff[],32,FALSE),0)</f>
        <v>0</v>
      </c>
    </row>
    <row r="15" spans="2:41" ht="15" customHeight="1" x14ac:dyDescent="0.25">
      <c r="B15" s="125"/>
      <c r="C15" s="162">
        <v>2</v>
      </c>
      <c r="D15" s="163"/>
      <c r="E15" s="164">
        <f t="shared" ref="E15:E25" si="1">_xlfn.IFNA($E$11*F15/100,0)</f>
        <v>0</v>
      </c>
      <c r="F15" s="110">
        <v>0</v>
      </c>
      <c r="G15" s="112">
        <f>_xlfn.IFNA(VLOOKUP(D15,Feedstuff[],26,FALSE),0)</f>
        <v>0</v>
      </c>
      <c r="H15" s="112">
        <f>_xlfn.IFNA(VLOOKUP(D15,Feedstuff[],5,FALSE),0)</f>
        <v>0</v>
      </c>
      <c r="I15" s="112">
        <f>_xlfn.IFNA(VLOOKUP(D15,Feedstuff[],7,FALSE),0)</f>
        <v>0</v>
      </c>
      <c r="J15" s="112">
        <f>_xlfn.IFNA(VLOOKUP(D15,Feedstuff[],6,FALSE),0)</f>
        <v>0</v>
      </c>
      <c r="K15" s="112">
        <f>_xlfn.IFNA(VLOOKUP(D15,Feedstuff[],9,FALSE),0)</f>
        <v>0</v>
      </c>
      <c r="L15" s="112">
        <f>_xlfn.IFNA(VLOOKUP(D15,Feedstuff[],11,FALSE),0)</f>
        <v>0</v>
      </c>
      <c r="M15" s="112">
        <f>_xlfn.IFNA(VLOOKUP(D15,Feedstuff[],13,FALSE),0)</f>
        <v>0</v>
      </c>
      <c r="N15" s="112">
        <f>_xlfn.IFNA(VLOOKUP(D15,Feedstuff[],10,FALSE),0)</f>
        <v>0</v>
      </c>
      <c r="O15" s="112">
        <f>_xlfn.IFNA(VLOOKUP(D15,Feedstuff[],14,FALSE),0)</f>
        <v>0</v>
      </c>
      <c r="P15" s="112">
        <f>_xlfn.IFNA(VLOOKUP(D15,Feedstuff[],33,FALSE),0)</f>
        <v>0</v>
      </c>
      <c r="Q15" s="165">
        <f>_xlfn.IFNA(VLOOKUP(D15,Feedstuff[],35,FALSE),0)</f>
        <v>0</v>
      </c>
      <c r="R15" s="112">
        <f>_xlfn.IFNA(VLOOKUP(D15,Feedstuff[],37,FALSE),0)</f>
        <v>0</v>
      </c>
      <c r="S15" s="112">
        <f>_xlfn.IFNA(VLOOKUP(D15,Feedstuff[],34,FALSE),0)</f>
        <v>0</v>
      </c>
      <c r="T15" s="112">
        <f>_xlfn.IFNA(VLOOKUP(D15,Feedstuff[],38,FALSE),0)</f>
        <v>0</v>
      </c>
      <c r="U15" s="112">
        <f>_xlfn.IFNA(VLOOKUP(D15,Feedstuff[],20,FALSE),0)</f>
        <v>0</v>
      </c>
      <c r="V15" s="112">
        <f>_xlfn.IFNA(VLOOKUP(D15,Feedstuff[],21,FALSE),0)</f>
        <v>0</v>
      </c>
      <c r="W15" s="112">
        <f>_xlfn.IFNA(VLOOKUP(D15,Feedstuff[],25,FALSE),)</f>
        <v>0</v>
      </c>
      <c r="X15" s="166"/>
      <c r="Y15" s="167"/>
      <c r="Z15" s="112" t="str">
        <f>_xlfn.IFNA(IF($L$7="&lt; 28 day broiler",(VLOOKUP(D15,Feedstuff[],28,FALSE)),IF($L$7="broiler",(VLOOKUP(D15,Feedstuff[],29,FALSE)),IF($L$7="Hen",(VLOOKUP(D15,Feedstuff[],30,FALSE)),0))),"0")</f>
        <v>0</v>
      </c>
      <c r="AA15" s="168" t="str">
        <f t="shared" si="0"/>
        <v/>
      </c>
      <c r="AB15" s="166"/>
      <c r="AC15" s="169"/>
      <c r="AD15" s="170">
        <f t="shared" ref="AD15:AD25" si="2">E15*AC15/1000</f>
        <v>0</v>
      </c>
      <c r="AE15" s="171" t="e">
        <f t="shared" ref="AE15:AE25" si="3">F15*AC15/$AD$29</f>
        <v>#DIV/0!</v>
      </c>
      <c r="AF15" s="166"/>
      <c r="AG15" s="172">
        <f>_xlfn.IFNA(VLOOKUP(D15,Feedstuff[],15,FALSE),0)</f>
        <v>0</v>
      </c>
      <c r="AH15" s="172">
        <f>_xlfn.IFNA(VLOOKUP(D14,Feedstuff[],16,FALSE),0)</f>
        <v>0</v>
      </c>
      <c r="AI15" s="172">
        <f>_xlfn.IFNA(VLOOKUP(D15,Feedstuff[],17,FALSE),0)</f>
        <v>0</v>
      </c>
      <c r="AJ15" s="172">
        <f>_xlfn.IFNA(VLOOKUP(D15,Feedstuff[],18,FALSE),0)</f>
        <v>0</v>
      </c>
      <c r="AK15" s="172">
        <f>_xlfn.IFNA(VLOOKUP(D15,Feedstuff[],19,FALSE),0)</f>
        <v>0</v>
      </c>
      <c r="AL15" s="172">
        <f>_xlfn.IFNA(VLOOKUP(D15,Feedstuff[],23,FALSE),0)</f>
        <v>0</v>
      </c>
      <c r="AM15" s="172">
        <f>_xlfn.IFNA(VLOOKUP(D15,Feedstuff[],24,FALSE),0)</f>
        <v>0</v>
      </c>
      <c r="AN15" s="172">
        <f>_xlfn.IFNA(VLOOKUP(D15,Feedstuff[],31,FALSE),0)</f>
        <v>0</v>
      </c>
      <c r="AO15" s="172">
        <f>_xlfn.IFNA(VLOOKUP(D15,Feedstuff[],32,FALSE),0)</f>
        <v>0</v>
      </c>
    </row>
    <row r="16" spans="2:41" x14ac:dyDescent="0.25">
      <c r="B16" s="125"/>
      <c r="C16" s="162">
        <v>3</v>
      </c>
      <c r="D16" s="163"/>
      <c r="E16" s="164">
        <f t="shared" si="1"/>
        <v>0</v>
      </c>
      <c r="F16" s="110">
        <v>0</v>
      </c>
      <c r="G16" s="112">
        <f>_xlfn.IFNA(VLOOKUP(D16,Feedstuff[],26,FALSE),0)</f>
        <v>0</v>
      </c>
      <c r="H16" s="112">
        <f>_xlfn.IFNA(VLOOKUP(D16,Feedstuff[],5,FALSE),0)</f>
        <v>0</v>
      </c>
      <c r="I16" s="112">
        <f>_xlfn.IFNA(VLOOKUP(D16,Feedstuff[],7,FALSE),0)</f>
        <v>0</v>
      </c>
      <c r="J16" s="112">
        <f>_xlfn.IFNA(VLOOKUP(D16,Feedstuff[],6,FALSE),0)</f>
        <v>0</v>
      </c>
      <c r="K16" s="112">
        <f>_xlfn.IFNA(VLOOKUP(D16,Feedstuff[],9,FALSE),0)</f>
        <v>0</v>
      </c>
      <c r="L16" s="112">
        <f>_xlfn.IFNA(VLOOKUP(D16,Feedstuff[],11,FALSE),0)</f>
        <v>0</v>
      </c>
      <c r="M16" s="112">
        <f>_xlfn.IFNA(VLOOKUP(D16,Feedstuff[],13,FALSE),0)</f>
        <v>0</v>
      </c>
      <c r="N16" s="112">
        <f>_xlfn.IFNA(VLOOKUP(D16,Feedstuff[],10,FALSE),0)</f>
        <v>0</v>
      </c>
      <c r="O16" s="112">
        <f>_xlfn.IFNA(VLOOKUP(D16,Feedstuff[],14,FALSE),0)</f>
        <v>0</v>
      </c>
      <c r="P16" s="112">
        <f>_xlfn.IFNA(VLOOKUP(D16,Feedstuff[],33,FALSE),0)</f>
        <v>0</v>
      </c>
      <c r="Q16" s="165">
        <f>_xlfn.IFNA(VLOOKUP(D16,Feedstuff[],35,FALSE),0)</f>
        <v>0</v>
      </c>
      <c r="R16" s="112">
        <f>_xlfn.IFNA(VLOOKUP(D16,Feedstuff[],37,FALSE),0)</f>
        <v>0</v>
      </c>
      <c r="S16" s="112">
        <f>_xlfn.IFNA(VLOOKUP(D16,Feedstuff[],34,FALSE),0)</f>
        <v>0</v>
      </c>
      <c r="T16" s="112">
        <f>_xlfn.IFNA(VLOOKUP(D16,Feedstuff[],38,FALSE),0)</f>
        <v>0</v>
      </c>
      <c r="U16" s="112">
        <f>_xlfn.IFNA(VLOOKUP(D16,Feedstuff[],20,FALSE),0)</f>
        <v>0</v>
      </c>
      <c r="V16" s="112">
        <f>_xlfn.IFNA(VLOOKUP(D16,Feedstuff[],21,FALSE),0)</f>
        <v>0</v>
      </c>
      <c r="W16" s="112">
        <f>_xlfn.IFNA(VLOOKUP(D16,Feedstuff[],25,FALSE),)</f>
        <v>0</v>
      </c>
      <c r="X16" s="166"/>
      <c r="Y16" s="167"/>
      <c r="Z16" s="112" t="str">
        <f>_xlfn.IFNA(IF($L$7="&lt; 28 day broiler",(VLOOKUP(D16,Feedstuff[],28,FALSE)),IF($L$7="broiler",(VLOOKUP(D16,Feedstuff[],29,FALSE)),IF($L$7="Hen",(VLOOKUP(D16,Feedstuff[],30,FALSE)),0))),"0")</f>
        <v>0</v>
      </c>
      <c r="AA16" s="168" t="str">
        <f t="shared" si="0"/>
        <v/>
      </c>
      <c r="AB16" s="166"/>
      <c r="AC16" s="169"/>
      <c r="AD16" s="170">
        <f t="shared" si="2"/>
        <v>0</v>
      </c>
      <c r="AE16" s="171" t="e">
        <f t="shared" si="3"/>
        <v>#DIV/0!</v>
      </c>
      <c r="AF16" s="166"/>
      <c r="AG16" s="172">
        <f>_xlfn.IFNA(VLOOKUP(D16,Feedstuff[],15,FALSE),0)</f>
        <v>0</v>
      </c>
      <c r="AH16" s="172">
        <f>_xlfn.IFNA(VLOOKUP(D15,Feedstuff[],16,FALSE),0)</f>
        <v>0</v>
      </c>
      <c r="AI16" s="172">
        <f>_xlfn.IFNA(VLOOKUP(D16,Feedstuff[],17,FALSE),0)</f>
        <v>0</v>
      </c>
      <c r="AJ16" s="172">
        <f>_xlfn.IFNA(VLOOKUP(D16,Feedstuff[],18,FALSE),0)</f>
        <v>0</v>
      </c>
      <c r="AK16" s="172">
        <f>_xlfn.IFNA(VLOOKUP(D16,Feedstuff[],19,FALSE),0)</f>
        <v>0</v>
      </c>
      <c r="AL16" s="172">
        <f>_xlfn.IFNA(VLOOKUP(D16,Feedstuff[],23,FALSE),0)</f>
        <v>0</v>
      </c>
      <c r="AM16" s="172">
        <f>_xlfn.IFNA(VLOOKUP(D16,Feedstuff[],24,FALSE),0)</f>
        <v>0</v>
      </c>
      <c r="AN16" s="172">
        <f>_xlfn.IFNA(VLOOKUP(D16,Feedstuff[],31,FALSE),0)</f>
        <v>0</v>
      </c>
      <c r="AO16" s="172">
        <f>_xlfn.IFNA(VLOOKUP(D16,Feedstuff[],32,FALSE),0)</f>
        <v>0</v>
      </c>
    </row>
    <row r="17" spans="2:41" ht="15" customHeight="1" x14ac:dyDescent="0.25">
      <c r="B17" s="125"/>
      <c r="C17" s="162">
        <v>4</v>
      </c>
      <c r="D17" s="163"/>
      <c r="E17" s="164">
        <f t="shared" si="1"/>
        <v>0</v>
      </c>
      <c r="F17" s="110">
        <v>0</v>
      </c>
      <c r="G17" s="112">
        <f>_xlfn.IFNA(VLOOKUP(D17,Feedstuff[],26,FALSE),0)</f>
        <v>0</v>
      </c>
      <c r="H17" s="112">
        <f>_xlfn.IFNA(VLOOKUP(D17,Feedstuff[],5,FALSE),0)</f>
        <v>0</v>
      </c>
      <c r="I17" s="112">
        <f>_xlfn.IFNA(VLOOKUP(D17,Feedstuff[],7,FALSE),0)</f>
        <v>0</v>
      </c>
      <c r="J17" s="112">
        <f>_xlfn.IFNA(VLOOKUP(D17,Feedstuff[],6,FALSE),0)</f>
        <v>0</v>
      </c>
      <c r="K17" s="112">
        <f>_xlfn.IFNA(VLOOKUP(D17,Feedstuff[],9,FALSE),0)</f>
        <v>0</v>
      </c>
      <c r="L17" s="112">
        <f>_xlfn.IFNA(VLOOKUP(D17,Feedstuff[],11,FALSE),0)</f>
        <v>0</v>
      </c>
      <c r="M17" s="112">
        <f>_xlfn.IFNA(VLOOKUP(D17,Feedstuff[],13,FALSE),0)</f>
        <v>0</v>
      </c>
      <c r="N17" s="112">
        <f>_xlfn.IFNA(VLOOKUP(D17,Feedstuff[],10,FALSE),0)</f>
        <v>0</v>
      </c>
      <c r="O17" s="112">
        <f>_xlfn.IFNA(VLOOKUP(D17,Feedstuff[],14,FALSE),0)</f>
        <v>0</v>
      </c>
      <c r="P17" s="112">
        <f>_xlfn.IFNA(VLOOKUP(D17,Feedstuff[],33,FALSE),0)</f>
        <v>0</v>
      </c>
      <c r="Q17" s="165">
        <f>_xlfn.IFNA(VLOOKUP(D17,Feedstuff[],35,FALSE),0)</f>
        <v>0</v>
      </c>
      <c r="R17" s="112">
        <f>_xlfn.IFNA(VLOOKUP(D17,Feedstuff[],37,FALSE),0)</f>
        <v>0</v>
      </c>
      <c r="S17" s="112">
        <f>_xlfn.IFNA(VLOOKUP(D17,Feedstuff[],34,FALSE),0)</f>
        <v>0</v>
      </c>
      <c r="T17" s="112">
        <f>_xlfn.IFNA(VLOOKUP(D17,Feedstuff[],38,FALSE),0)</f>
        <v>0</v>
      </c>
      <c r="U17" s="112">
        <f>_xlfn.IFNA(VLOOKUP(D17,Feedstuff[],20,FALSE),0)</f>
        <v>0</v>
      </c>
      <c r="V17" s="112">
        <f>_xlfn.IFNA(VLOOKUP(D17,Feedstuff[],21,FALSE),0)</f>
        <v>0</v>
      </c>
      <c r="W17" s="112">
        <f>_xlfn.IFNA(VLOOKUP(D17,Feedstuff[],25,FALSE),)</f>
        <v>0</v>
      </c>
      <c r="X17" s="166"/>
      <c r="Y17" s="167"/>
      <c r="Z17" s="112" t="str">
        <f>_xlfn.IFNA(IF($L$7="&lt; 28 day broiler",(VLOOKUP(D17,Feedstuff[],28,FALSE)),IF($L$7="broiler",(VLOOKUP(D17,Feedstuff[],29,FALSE)),IF($L$7="Hen",(VLOOKUP(D17,Feedstuff[],30,FALSE)),0))),"0")</f>
        <v>0</v>
      </c>
      <c r="AA17" s="168" t="str">
        <f t="shared" si="0"/>
        <v/>
      </c>
      <c r="AB17" s="166"/>
      <c r="AC17" s="169"/>
      <c r="AD17" s="170">
        <f t="shared" si="2"/>
        <v>0</v>
      </c>
      <c r="AE17" s="171" t="e">
        <f t="shared" si="3"/>
        <v>#DIV/0!</v>
      </c>
      <c r="AF17" s="166"/>
      <c r="AG17" s="172">
        <f>_xlfn.IFNA(VLOOKUP(D17,Feedstuff[],15,FALSE),0)</f>
        <v>0</v>
      </c>
      <c r="AH17" s="172">
        <f>_xlfn.IFNA(VLOOKUP(D16,Feedstuff[],16,FALSE),0)</f>
        <v>0</v>
      </c>
      <c r="AI17" s="172">
        <f>_xlfn.IFNA(VLOOKUP(D17,Feedstuff[],17,FALSE),0)</f>
        <v>0</v>
      </c>
      <c r="AJ17" s="172">
        <f>_xlfn.IFNA(VLOOKUP(D17,Feedstuff[],18,FALSE),0)</f>
        <v>0</v>
      </c>
      <c r="AK17" s="172">
        <f>_xlfn.IFNA(VLOOKUP(D17,Feedstuff[],19,FALSE),0)</f>
        <v>0</v>
      </c>
      <c r="AL17" s="172">
        <f>_xlfn.IFNA(VLOOKUP(D17,Feedstuff[],23,FALSE),0)</f>
        <v>0</v>
      </c>
      <c r="AM17" s="172">
        <f>_xlfn.IFNA(VLOOKUP(D17,Feedstuff[],24,FALSE),0)</f>
        <v>0</v>
      </c>
      <c r="AN17" s="172">
        <f>_xlfn.IFNA(VLOOKUP(D17,Feedstuff[],31,FALSE),0)</f>
        <v>0</v>
      </c>
      <c r="AO17" s="172">
        <f>_xlfn.IFNA(VLOOKUP(D17,Feedstuff[],32,FALSE),0)</f>
        <v>0</v>
      </c>
    </row>
    <row r="18" spans="2:41" x14ac:dyDescent="0.25">
      <c r="B18" s="125"/>
      <c r="C18" s="162">
        <v>5</v>
      </c>
      <c r="D18" s="163"/>
      <c r="E18" s="164">
        <f t="shared" si="1"/>
        <v>0</v>
      </c>
      <c r="F18" s="110">
        <v>0</v>
      </c>
      <c r="G18" s="112">
        <f>_xlfn.IFNA(VLOOKUP(D18,Feedstuff[],26,FALSE),0)</f>
        <v>0</v>
      </c>
      <c r="H18" s="112">
        <f>_xlfn.IFNA(VLOOKUP(D18,Feedstuff[],5,FALSE),0)</f>
        <v>0</v>
      </c>
      <c r="I18" s="112">
        <f>_xlfn.IFNA(VLOOKUP(D18,Feedstuff[],7,FALSE),0)</f>
        <v>0</v>
      </c>
      <c r="J18" s="112">
        <f>_xlfn.IFNA(VLOOKUP(D18,Feedstuff[],6,FALSE),0)</f>
        <v>0</v>
      </c>
      <c r="K18" s="112">
        <f>_xlfn.IFNA(VLOOKUP(D18,Feedstuff[],9,FALSE),0)</f>
        <v>0</v>
      </c>
      <c r="L18" s="112">
        <f>_xlfn.IFNA(VLOOKUP(D18,Feedstuff[],11,FALSE),0)</f>
        <v>0</v>
      </c>
      <c r="M18" s="112">
        <f>_xlfn.IFNA(VLOOKUP(D18,Feedstuff[],13,FALSE),0)</f>
        <v>0</v>
      </c>
      <c r="N18" s="112">
        <f>_xlfn.IFNA(VLOOKUP(D18,Feedstuff[],10,FALSE),0)</f>
        <v>0</v>
      </c>
      <c r="O18" s="112">
        <f>_xlfn.IFNA(VLOOKUP(D18,Feedstuff[],14,FALSE),0)</f>
        <v>0</v>
      </c>
      <c r="P18" s="112">
        <f>_xlfn.IFNA(VLOOKUP(D18,Feedstuff[],33,FALSE),0)</f>
        <v>0</v>
      </c>
      <c r="Q18" s="165">
        <f>_xlfn.IFNA(VLOOKUP(D18,Feedstuff[],35,FALSE),0)</f>
        <v>0</v>
      </c>
      <c r="R18" s="112">
        <f>_xlfn.IFNA(VLOOKUP(D18,Feedstuff[],37,FALSE),0)</f>
        <v>0</v>
      </c>
      <c r="S18" s="112">
        <f>_xlfn.IFNA(VLOOKUP(D18,Feedstuff[],34,FALSE),0)</f>
        <v>0</v>
      </c>
      <c r="T18" s="112">
        <f>_xlfn.IFNA(VLOOKUP(D18,Feedstuff[],38,FALSE),0)</f>
        <v>0</v>
      </c>
      <c r="U18" s="112">
        <f>_xlfn.IFNA(VLOOKUP(D18,Feedstuff[],20,FALSE),0)</f>
        <v>0</v>
      </c>
      <c r="V18" s="112">
        <f>_xlfn.IFNA(VLOOKUP(D18,Feedstuff[],21,FALSE),0)</f>
        <v>0</v>
      </c>
      <c r="W18" s="112">
        <f>_xlfn.IFNA(VLOOKUP(D18,Feedstuff[],25,FALSE),)</f>
        <v>0</v>
      </c>
      <c r="X18" s="166"/>
      <c r="Y18" s="167"/>
      <c r="Z18" s="112" t="str">
        <f>_xlfn.IFNA(IF($L$7="&lt; 28 day broiler",(VLOOKUP(D18,Feedstuff[],28,FALSE)),IF($L$7="broiler",(VLOOKUP(D18,Feedstuff[],29,FALSE)),IF($L$7="Hen",(VLOOKUP(D18,Feedstuff[],30,FALSE)),0))),"0")</f>
        <v>0</v>
      </c>
      <c r="AA18" s="168" t="str">
        <f t="shared" si="0"/>
        <v/>
      </c>
      <c r="AB18" s="166"/>
      <c r="AC18" s="169"/>
      <c r="AD18" s="170">
        <f t="shared" si="2"/>
        <v>0</v>
      </c>
      <c r="AE18" s="171" t="e">
        <f t="shared" si="3"/>
        <v>#DIV/0!</v>
      </c>
      <c r="AF18" s="166"/>
      <c r="AG18" s="172">
        <f>_xlfn.IFNA(VLOOKUP(D18,Feedstuff[],15,FALSE),0)</f>
        <v>0</v>
      </c>
      <c r="AH18" s="172">
        <f>_xlfn.IFNA(VLOOKUP(D17,Feedstuff[],16,FALSE),0)</f>
        <v>0</v>
      </c>
      <c r="AI18" s="172">
        <f>_xlfn.IFNA(VLOOKUP(D18,Feedstuff[],17,FALSE),0)</f>
        <v>0</v>
      </c>
      <c r="AJ18" s="172">
        <f>_xlfn.IFNA(VLOOKUP(D18,Feedstuff[],18,FALSE),0)</f>
        <v>0</v>
      </c>
      <c r="AK18" s="172">
        <f>_xlfn.IFNA(VLOOKUP(D18,Feedstuff[],19,FALSE),0)</f>
        <v>0</v>
      </c>
      <c r="AL18" s="172">
        <f>_xlfn.IFNA(VLOOKUP(D18,Feedstuff[],23,FALSE),0)</f>
        <v>0</v>
      </c>
      <c r="AM18" s="172">
        <f>_xlfn.IFNA(VLOOKUP(D18,Feedstuff[],24,FALSE),0)</f>
        <v>0</v>
      </c>
      <c r="AN18" s="172">
        <f>_xlfn.IFNA(VLOOKUP(D18,Feedstuff[],31,FALSE),0)</f>
        <v>0</v>
      </c>
      <c r="AO18" s="172">
        <f>_xlfn.IFNA(VLOOKUP(D18,Feedstuff[],32,FALSE),0)</f>
        <v>0</v>
      </c>
    </row>
    <row r="19" spans="2:41" x14ac:dyDescent="0.25">
      <c r="B19" s="125"/>
      <c r="C19" s="162">
        <v>6</v>
      </c>
      <c r="D19" s="163"/>
      <c r="E19" s="164">
        <f t="shared" si="1"/>
        <v>0</v>
      </c>
      <c r="F19" s="110">
        <v>0</v>
      </c>
      <c r="G19" s="112">
        <f>_xlfn.IFNA(VLOOKUP(D19,Feedstuff[],26,FALSE),0)</f>
        <v>0</v>
      </c>
      <c r="H19" s="112">
        <f>_xlfn.IFNA(VLOOKUP(D19,Feedstuff[],5,FALSE),0)</f>
        <v>0</v>
      </c>
      <c r="I19" s="112">
        <f>_xlfn.IFNA(VLOOKUP(D19,Feedstuff[],7,FALSE),0)</f>
        <v>0</v>
      </c>
      <c r="J19" s="112">
        <f>_xlfn.IFNA(VLOOKUP(D19,Feedstuff[],6,FALSE),0)</f>
        <v>0</v>
      </c>
      <c r="K19" s="112">
        <f>_xlfn.IFNA(VLOOKUP(D19,Feedstuff[],9,FALSE),0)</f>
        <v>0</v>
      </c>
      <c r="L19" s="112">
        <f>_xlfn.IFNA(VLOOKUP(D19,Feedstuff[],11,FALSE),0)</f>
        <v>0</v>
      </c>
      <c r="M19" s="112">
        <f>_xlfn.IFNA(VLOOKUP(D19,Feedstuff[],13,FALSE),0)</f>
        <v>0</v>
      </c>
      <c r="N19" s="112">
        <f>_xlfn.IFNA(VLOOKUP(D19,Feedstuff[],10,FALSE),0)</f>
        <v>0</v>
      </c>
      <c r="O19" s="112">
        <f>_xlfn.IFNA(VLOOKUP(D19,Feedstuff[],14,FALSE),0)</f>
        <v>0</v>
      </c>
      <c r="P19" s="112">
        <f>_xlfn.IFNA(VLOOKUP(D19,Feedstuff[],33,FALSE),0)</f>
        <v>0</v>
      </c>
      <c r="Q19" s="165">
        <f>_xlfn.IFNA(VLOOKUP(D19,Feedstuff[],35,FALSE),0)</f>
        <v>0</v>
      </c>
      <c r="R19" s="112">
        <f>_xlfn.IFNA(VLOOKUP(D19,Feedstuff[],37,FALSE),0)</f>
        <v>0</v>
      </c>
      <c r="S19" s="112">
        <f>_xlfn.IFNA(VLOOKUP(D19,Feedstuff[],34,FALSE),0)</f>
        <v>0</v>
      </c>
      <c r="T19" s="112">
        <f>_xlfn.IFNA(VLOOKUP(D19,Feedstuff[],38,FALSE),0)</f>
        <v>0</v>
      </c>
      <c r="U19" s="112">
        <f>_xlfn.IFNA(VLOOKUP(D19,Feedstuff[],20,FALSE),0)</f>
        <v>0</v>
      </c>
      <c r="V19" s="112">
        <f>_xlfn.IFNA(VLOOKUP(D19,Feedstuff[],21,FALSE),0)</f>
        <v>0</v>
      </c>
      <c r="W19" s="112">
        <f>_xlfn.IFNA(VLOOKUP(D19,Feedstuff[],25,FALSE),)</f>
        <v>0</v>
      </c>
      <c r="X19" s="166"/>
      <c r="Y19" s="167"/>
      <c r="Z19" s="112" t="str">
        <f>_xlfn.IFNA(IF($L$7="&lt; 28 day broiler",(VLOOKUP(D19,Feedstuff[],28,FALSE)),IF($L$7="broiler",(VLOOKUP(D19,Feedstuff[],29,FALSE)),IF($L$7="Hen",(VLOOKUP(D19,Feedstuff[],30,FALSE)),0))),"0")</f>
        <v>0</v>
      </c>
      <c r="AA19" s="168" t="str">
        <f t="shared" si="0"/>
        <v/>
      </c>
      <c r="AB19" s="166"/>
      <c r="AC19" s="169"/>
      <c r="AD19" s="170">
        <f t="shared" si="2"/>
        <v>0</v>
      </c>
      <c r="AE19" s="171" t="e">
        <f t="shared" si="3"/>
        <v>#DIV/0!</v>
      </c>
      <c r="AF19" s="166"/>
      <c r="AG19" s="172">
        <f>_xlfn.IFNA(VLOOKUP(D19,Feedstuff[],15,FALSE),0)</f>
        <v>0</v>
      </c>
      <c r="AH19" s="172">
        <f>_xlfn.IFNA(VLOOKUP(D18,Feedstuff[],16,FALSE),0)</f>
        <v>0</v>
      </c>
      <c r="AI19" s="172">
        <f>_xlfn.IFNA(VLOOKUP(D19,Feedstuff[],17,FALSE),0)</f>
        <v>0</v>
      </c>
      <c r="AJ19" s="172">
        <f>_xlfn.IFNA(VLOOKUP(D19,Feedstuff[],18,FALSE),0)</f>
        <v>0</v>
      </c>
      <c r="AK19" s="172">
        <f>_xlfn.IFNA(VLOOKUP(D19,Feedstuff[],19,FALSE),0)</f>
        <v>0</v>
      </c>
      <c r="AL19" s="172">
        <f>_xlfn.IFNA(VLOOKUP(D19,Feedstuff[],23,FALSE),0)</f>
        <v>0</v>
      </c>
      <c r="AM19" s="172">
        <f>_xlfn.IFNA(VLOOKUP(D19,Feedstuff[],24,FALSE),0)</f>
        <v>0</v>
      </c>
      <c r="AN19" s="172">
        <f>_xlfn.IFNA(VLOOKUP(D19,Feedstuff[],31,FALSE),0)</f>
        <v>0</v>
      </c>
      <c r="AO19" s="172">
        <f>_xlfn.IFNA(VLOOKUP(D19,Feedstuff[],32,FALSE),0)</f>
        <v>0</v>
      </c>
    </row>
    <row r="20" spans="2:41" x14ac:dyDescent="0.25">
      <c r="B20" s="125"/>
      <c r="C20" s="162">
        <v>7</v>
      </c>
      <c r="D20" s="163"/>
      <c r="E20" s="164">
        <f t="shared" si="1"/>
        <v>0</v>
      </c>
      <c r="F20" s="110">
        <v>0</v>
      </c>
      <c r="G20" s="112">
        <f>_xlfn.IFNA(VLOOKUP(D20,Feedstuff[],26,FALSE),0)</f>
        <v>0</v>
      </c>
      <c r="H20" s="112">
        <f>_xlfn.IFNA(VLOOKUP(D20,Feedstuff[],5,FALSE),0)</f>
        <v>0</v>
      </c>
      <c r="I20" s="112">
        <f>_xlfn.IFNA(VLOOKUP(D20,Feedstuff[],7,FALSE),0)</f>
        <v>0</v>
      </c>
      <c r="J20" s="112">
        <f>_xlfn.IFNA(VLOOKUP(D20,Feedstuff[],6,FALSE),0)</f>
        <v>0</v>
      </c>
      <c r="K20" s="112">
        <f>_xlfn.IFNA(VLOOKUP(D20,Feedstuff[],9,FALSE),0)</f>
        <v>0</v>
      </c>
      <c r="L20" s="112">
        <f>_xlfn.IFNA(VLOOKUP(D20,Feedstuff[],11,FALSE),0)</f>
        <v>0</v>
      </c>
      <c r="M20" s="112">
        <f>_xlfn.IFNA(VLOOKUP(D20,Feedstuff[],13,FALSE),0)</f>
        <v>0</v>
      </c>
      <c r="N20" s="112">
        <f>_xlfn.IFNA(VLOOKUP(D20,Feedstuff[],10,FALSE),0)</f>
        <v>0</v>
      </c>
      <c r="O20" s="112">
        <f>_xlfn.IFNA(VLOOKUP(D20,Feedstuff[],14,FALSE),0)</f>
        <v>0</v>
      </c>
      <c r="P20" s="112">
        <f>_xlfn.IFNA(VLOOKUP(D20,Feedstuff[],33,FALSE),0)</f>
        <v>0</v>
      </c>
      <c r="Q20" s="165">
        <f>_xlfn.IFNA(VLOOKUP(D20,Feedstuff[],35,FALSE),0)</f>
        <v>0</v>
      </c>
      <c r="R20" s="112">
        <f>_xlfn.IFNA(VLOOKUP(D20,Feedstuff[],37,FALSE),0)</f>
        <v>0</v>
      </c>
      <c r="S20" s="112">
        <f>_xlfn.IFNA(VLOOKUP(D20,Feedstuff[],34,FALSE),0)</f>
        <v>0</v>
      </c>
      <c r="T20" s="112">
        <f>_xlfn.IFNA(VLOOKUP(D20,Feedstuff[],38,FALSE),0)</f>
        <v>0</v>
      </c>
      <c r="U20" s="112">
        <f>_xlfn.IFNA(VLOOKUP(D20,Feedstuff[],20,FALSE),0)</f>
        <v>0</v>
      </c>
      <c r="V20" s="112">
        <f>_xlfn.IFNA(VLOOKUP(D20,Feedstuff[],21,FALSE),0)</f>
        <v>0</v>
      </c>
      <c r="W20" s="112">
        <f>_xlfn.IFNA(VLOOKUP(D20,Feedstuff[],25,FALSE),)</f>
        <v>0</v>
      </c>
      <c r="X20" s="166"/>
      <c r="Y20" s="167"/>
      <c r="Z20" s="112" t="str">
        <f>_xlfn.IFNA(IF($L$7="&lt; 28 day broiler",(VLOOKUP(D20,Feedstuff[],28,FALSE)),IF($L$7="broiler",(VLOOKUP(D20,Feedstuff[],29,FALSE)),IF($L$7="Hen",(VLOOKUP(D20,Feedstuff[],30,FALSE)),0))),"0")</f>
        <v>0</v>
      </c>
      <c r="AA20" s="168" t="str">
        <f t="shared" si="0"/>
        <v/>
      </c>
      <c r="AB20" s="166"/>
      <c r="AC20" s="169"/>
      <c r="AD20" s="170">
        <f t="shared" si="2"/>
        <v>0</v>
      </c>
      <c r="AE20" s="171" t="e">
        <f t="shared" si="3"/>
        <v>#DIV/0!</v>
      </c>
      <c r="AF20" s="166"/>
      <c r="AG20" s="172">
        <f>_xlfn.IFNA(VLOOKUP(D20,Feedstuff[],15,FALSE),0)</f>
        <v>0</v>
      </c>
      <c r="AH20" s="172">
        <f>_xlfn.IFNA(VLOOKUP(D19,Feedstuff[],16,FALSE),0)</f>
        <v>0</v>
      </c>
      <c r="AI20" s="172">
        <f>_xlfn.IFNA(VLOOKUP(D20,Feedstuff[],17,FALSE),0)</f>
        <v>0</v>
      </c>
      <c r="AJ20" s="172">
        <f>_xlfn.IFNA(VLOOKUP(D20,Feedstuff[],18,FALSE),0)</f>
        <v>0</v>
      </c>
      <c r="AK20" s="172">
        <f>_xlfn.IFNA(VLOOKUP(D20,Feedstuff[],19,FALSE),0)</f>
        <v>0</v>
      </c>
      <c r="AL20" s="172">
        <f>_xlfn.IFNA(VLOOKUP(D20,Feedstuff[],23,FALSE),0)</f>
        <v>0</v>
      </c>
      <c r="AM20" s="172">
        <f>_xlfn.IFNA(VLOOKUP(D20,Feedstuff[],24,FALSE),0)</f>
        <v>0</v>
      </c>
      <c r="AN20" s="172">
        <f>_xlfn.IFNA(VLOOKUP(D20,Feedstuff[],31,FALSE),0)</f>
        <v>0</v>
      </c>
      <c r="AO20" s="172">
        <f>_xlfn.IFNA(VLOOKUP(D20,Feedstuff[],32,FALSE),0)</f>
        <v>0</v>
      </c>
    </row>
    <row r="21" spans="2:41" x14ac:dyDescent="0.25">
      <c r="B21" s="125"/>
      <c r="C21" s="162">
        <v>8</v>
      </c>
      <c r="D21" s="163"/>
      <c r="E21" s="164">
        <f t="shared" si="1"/>
        <v>0</v>
      </c>
      <c r="F21" s="110">
        <v>0</v>
      </c>
      <c r="G21" s="112">
        <f>_xlfn.IFNA(VLOOKUP(D21,Feedstuff[],26,FALSE),0)</f>
        <v>0</v>
      </c>
      <c r="H21" s="112">
        <f>_xlfn.IFNA(VLOOKUP(D21,Feedstuff[],5,FALSE),0)</f>
        <v>0</v>
      </c>
      <c r="I21" s="112">
        <f>_xlfn.IFNA(VLOOKUP(D21,Feedstuff[],7,FALSE),0)</f>
        <v>0</v>
      </c>
      <c r="J21" s="112">
        <f>_xlfn.IFNA(VLOOKUP(D21,Feedstuff[],6,FALSE),0)</f>
        <v>0</v>
      </c>
      <c r="K21" s="112">
        <f>_xlfn.IFNA(VLOOKUP(D21,Feedstuff[],9,FALSE),0)</f>
        <v>0</v>
      </c>
      <c r="L21" s="112">
        <f>_xlfn.IFNA(VLOOKUP(D21,Feedstuff[],11,FALSE),0)</f>
        <v>0</v>
      </c>
      <c r="M21" s="112">
        <f>_xlfn.IFNA(VLOOKUP(D21,Feedstuff[],13,FALSE),0)</f>
        <v>0</v>
      </c>
      <c r="N21" s="112">
        <f>_xlfn.IFNA(VLOOKUP(D21,Feedstuff[],10,FALSE),0)</f>
        <v>0</v>
      </c>
      <c r="O21" s="112">
        <f>_xlfn.IFNA(VLOOKUP(D21,Feedstuff[],14,FALSE),0)</f>
        <v>0</v>
      </c>
      <c r="P21" s="112">
        <f>_xlfn.IFNA(VLOOKUP(D21,Feedstuff[],33,FALSE),0)</f>
        <v>0</v>
      </c>
      <c r="Q21" s="165">
        <f>_xlfn.IFNA(VLOOKUP(D21,Feedstuff[],35,FALSE),0)</f>
        <v>0</v>
      </c>
      <c r="R21" s="112">
        <f>_xlfn.IFNA(VLOOKUP(D21,Feedstuff[],37,FALSE),0)</f>
        <v>0</v>
      </c>
      <c r="S21" s="112">
        <f>_xlfn.IFNA(VLOOKUP(D21,Feedstuff[],34,FALSE),0)</f>
        <v>0</v>
      </c>
      <c r="T21" s="112">
        <f>_xlfn.IFNA(VLOOKUP(D21,Feedstuff[],38,FALSE),0)</f>
        <v>0</v>
      </c>
      <c r="U21" s="112">
        <f>_xlfn.IFNA(VLOOKUP(D21,Feedstuff[],20,FALSE),0)</f>
        <v>0</v>
      </c>
      <c r="V21" s="112">
        <f>_xlfn.IFNA(VLOOKUP(D21,Feedstuff[],21,FALSE),0)</f>
        <v>0</v>
      </c>
      <c r="W21" s="112">
        <f>_xlfn.IFNA(VLOOKUP(D21,Feedstuff[],25,FALSE),)</f>
        <v>0</v>
      </c>
      <c r="X21" s="166"/>
      <c r="Y21" s="167"/>
      <c r="Z21" s="112" t="str">
        <f>_xlfn.IFNA(IF($L$7="&lt; 28 day broiler",(VLOOKUP(D21,Feedstuff[],28,FALSE)),IF($L$7="broiler",(VLOOKUP(D21,Feedstuff[],29,FALSE)),IF($L$7="Hen",(VLOOKUP(D21,Feedstuff[],30,FALSE)),0))),"0")</f>
        <v>0</v>
      </c>
      <c r="AA21" s="168" t="str">
        <f t="shared" si="0"/>
        <v/>
      </c>
      <c r="AB21" s="166"/>
      <c r="AC21" s="169"/>
      <c r="AD21" s="170">
        <f t="shared" si="2"/>
        <v>0</v>
      </c>
      <c r="AE21" s="171" t="e">
        <f t="shared" si="3"/>
        <v>#DIV/0!</v>
      </c>
      <c r="AF21" s="166"/>
      <c r="AG21" s="172">
        <f>_xlfn.IFNA(VLOOKUP(D21,Feedstuff[],15,FALSE),0)</f>
        <v>0</v>
      </c>
      <c r="AH21" s="172">
        <f>_xlfn.IFNA(VLOOKUP(D20,Feedstuff[],16,FALSE),0)</f>
        <v>0</v>
      </c>
      <c r="AI21" s="172">
        <f>_xlfn.IFNA(VLOOKUP(D21,Feedstuff[],17,FALSE),0)</f>
        <v>0</v>
      </c>
      <c r="AJ21" s="172">
        <f>_xlfn.IFNA(VLOOKUP(D21,Feedstuff[],18,FALSE),0)</f>
        <v>0</v>
      </c>
      <c r="AK21" s="172">
        <f>_xlfn.IFNA(VLOOKUP(D21,Feedstuff[],19,FALSE),0)</f>
        <v>0</v>
      </c>
      <c r="AL21" s="172">
        <f>_xlfn.IFNA(VLOOKUP(D21,Feedstuff[],23,FALSE),0)</f>
        <v>0</v>
      </c>
      <c r="AM21" s="172">
        <f>_xlfn.IFNA(VLOOKUP(D21,Feedstuff[],24,FALSE),0)</f>
        <v>0</v>
      </c>
      <c r="AN21" s="172">
        <f>_xlfn.IFNA(VLOOKUP(D21,Feedstuff[],31,FALSE),0)</f>
        <v>0</v>
      </c>
      <c r="AO21" s="172">
        <f>_xlfn.IFNA(VLOOKUP(D21,Feedstuff[],32,FALSE),0)</f>
        <v>0</v>
      </c>
    </row>
    <row r="22" spans="2:41" x14ac:dyDescent="0.25">
      <c r="B22" s="125"/>
      <c r="C22" s="162">
        <v>9</v>
      </c>
      <c r="D22" s="163"/>
      <c r="E22" s="164">
        <f t="shared" si="1"/>
        <v>0</v>
      </c>
      <c r="F22" s="110">
        <v>0</v>
      </c>
      <c r="G22" s="112">
        <f>_xlfn.IFNA(VLOOKUP(D22,Feedstuff[],26,FALSE),0)</f>
        <v>0</v>
      </c>
      <c r="H22" s="112">
        <f>_xlfn.IFNA(VLOOKUP(D22,Feedstuff[],5,FALSE),0)</f>
        <v>0</v>
      </c>
      <c r="I22" s="112">
        <f>_xlfn.IFNA(VLOOKUP(D22,Feedstuff[],7,FALSE),0)</f>
        <v>0</v>
      </c>
      <c r="J22" s="112">
        <f>_xlfn.IFNA(VLOOKUP(D22,Feedstuff[],6,FALSE),0)</f>
        <v>0</v>
      </c>
      <c r="K22" s="112">
        <f>_xlfn.IFNA(VLOOKUP(D22,Feedstuff[],9,FALSE),0)</f>
        <v>0</v>
      </c>
      <c r="L22" s="112">
        <f>_xlfn.IFNA(VLOOKUP(D22,Feedstuff[],11,FALSE),0)</f>
        <v>0</v>
      </c>
      <c r="M22" s="112">
        <f>_xlfn.IFNA(VLOOKUP(D22,Feedstuff[],13,FALSE),0)</f>
        <v>0</v>
      </c>
      <c r="N22" s="112">
        <f>_xlfn.IFNA(VLOOKUP(D22,Feedstuff[],10,FALSE),0)</f>
        <v>0</v>
      </c>
      <c r="O22" s="112">
        <f>_xlfn.IFNA(VLOOKUP(D22,Feedstuff[],14,FALSE),0)</f>
        <v>0</v>
      </c>
      <c r="P22" s="112">
        <f>_xlfn.IFNA(VLOOKUP(D22,Feedstuff[],33,FALSE),0)</f>
        <v>0</v>
      </c>
      <c r="Q22" s="165">
        <f>_xlfn.IFNA(VLOOKUP(D22,Feedstuff[],35,FALSE),0)</f>
        <v>0</v>
      </c>
      <c r="R22" s="112">
        <f>_xlfn.IFNA(VLOOKUP(D22,Feedstuff[],37,FALSE),0)</f>
        <v>0</v>
      </c>
      <c r="S22" s="112">
        <f>_xlfn.IFNA(VLOOKUP(D22,Feedstuff[],34,FALSE),0)</f>
        <v>0</v>
      </c>
      <c r="T22" s="112">
        <f>_xlfn.IFNA(VLOOKUP(D22,Feedstuff[],38,FALSE),0)</f>
        <v>0</v>
      </c>
      <c r="U22" s="112">
        <f>_xlfn.IFNA(VLOOKUP(D22,Feedstuff[],20,FALSE),0)</f>
        <v>0</v>
      </c>
      <c r="V22" s="112">
        <f>_xlfn.IFNA(VLOOKUP(D22,Feedstuff[],21,FALSE),0)</f>
        <v>0</v>
      </c>
      <c r="W22" s="112">
        <f>_xlfn.IFNA(VLOOKUP(D22,Feedstuff[],25,FALSE),)</f>
        <v>0</v>
      </c>
      <c r="X22" s="166"/>
      <c r="Y22" s="167"/>
      <c r="Z22" s="112" t="str">
        <f>_xlfn.IFNA(IF($L$7="&lt; 28 day broiler",(VLOOKUP(D22,Feedstuff[],28,FALSE)),IF($L$7="broiler",(VLOOKUP(D22,Feedstuff[],29,FALSE)),IF($L$7="Hen",(VLOOKUP(D22,Feedstuff[],30,FALSE)),0))),"0")</f>
        <v>0</v>
      </c>
      <c r="AA22" s="168" t="str">
        <f t="shared" si="0"/>
        <v/>
      </c>
      <c r="AB22" s="166"/>
      <c r="AC22" s="169"/>
      <c r="AD22" s="170">
        <f t="shared" si="2"/>
        <v>0</v>
      </c>
      <c r="AE22" s="171" t="e">
        <f t="shared" si="3"/>
        <v>#DIV/0!</v>
      </c>
      <c r="AF22" s="166"/>
      <c r="AG22" s="172">
        <f>_xlfn.IFNA(VLOOKUP(D22,Feedstuff[],15,FALSE),0)</f>
        <v>0</v>
      </c>
      <c r="AH22" s="172">
        <f>_xlfn.IFNA(VLOOKUP(D21,Feedstuff[],16,FALSE),0)</f>
        <v>0</v>
      </c>
      <c r="AI22" s="172">
        <f>_xlfn.IFNA(VLOOKUP(D22,Feedstuff[],17,FALSE),0)</f>
        <v>0</v>
      </c>
      <c r="AJ22" s="172">
        <f>_xlfn.IFNA(VLOOKUP(D22,Feedstuff[],18,FALSE),0)</f>
        <v>0</v>
      </c>
      <c r="AK22" s="172">
        <f>_xlfn.IFNA(VLOOKUP(D22,Feedstuff[],19,FALSE),0)</f>
        <v>0</v>
      </c>
      <c r="AL22" s="172">
        <f>_xlfn.IFNA(VLOOKUP(D22,Feedstuff[],23,FALSE),0)</f>
        <v>0</v>
      </c>
      <c r="AM22" s="172">
        <f>_xlfn.IFNA(VLOOKUP(D22,Feedstuff[],24,FALSE),0)</f>
        <v>0</v>
      </c>
      <c r="AN22" s="172">
        <f>_xlfn.IFNA(VLOOKUP(D22,Feedstuff[],31,FALSE),0)</f>
        <v>0</v>
      </c>
      <c r="AO22" s="172">
        <f>_xlfn.IFNA(VLOOKUP(D22,Feedstuff[],32,FALSE),0)</f>
        <v>0</v>
      </c>
    </row>
    <row r="23" spans="2:41" ht="16.5" customHeight="1" x14ac:dyDescent="0.25">
      <c r="B23" s="125"/>
      <c r="C23" s="162">
        <v>10</v>
      </c>
      <c r="D23" s="163"/>
      <c r="E23" s="164">
        <f t="shared" si="1"/>
        <v>0</v>
      </c>
      <c r="F23" s="110">
        <v>0</v>
      </c>
      <c r="G23" s="112">
        <f>_xlfn.IFNA(VLOOKUP(D23,Feedstuff[],26,FALSE),0)</f>
        <v>0</v>
      </c>
      <c r="H23" s="112">
        <f>_xlfn.IFNA(VLOOKUP(D23,Feedstuff[],5,FALSE),0)</f>
        <v>0</v>
      </c>
      <c r="I23" s="112">
        <f>_xlfn.IFNA(VLOOKUP(D23,Feedstuff[],7,FALSE),0)</f>
        <v>0</v>
      </c>
      <c r="J23" s="112">
        <f>_xlfn.IFNA(VLOOKUP(D23,Feedstuff[],6,FALSE),0)</f>
        <v>0</v>
      </c>
      <c r="K23" s="112">
        <f>_xlfn.IFNA(VLOOKUP(D23,Feedstuff[],9,FALSE),0)</f>
        <v>0</v>
      </c>
      <c r="L23" s="112">
        <f>_xlfn.IFNA(VLOOKUP(D23,Feedstuff[],11,FALSE),0)</f>
        <v>0</v>
      </c>
      <c r="M23" s="112">
        <f>_xlfn.IFNA(VLOOKUP(D23,Feedstuff[],13,FALSE),0)</f>
        <v>0</v>
      </c>
      <c r="N23" s="112">
        <f>_xlfn.IFNA(VLOOKUP(D23,Feedstuff[],10,FALSE),0)</f>
        <v>0</v>
      </c>
      <c r="O23" s="112">
        <f>_xlfn.IFNA(VLOOKUP(D23,Feedstuff[],14,FALSE),0)</f>
        <v>0</v>
      </c>
      <c r="P23" s="112">
        <f>_xlfn.IFNA(VLOOKUP(D23,Feedstuff[],33,FALSE),0)</f>
        <v>0</v>
      </c>
      <c r="Q23" s="165">
        <f>_xlfn.IFNA(VLOOKUP(D23,Feedstuff[],35,FALSE),0)</f>
        <v>0</v>
      </c>
      <c r="R23" s="112">
        <f>_xlfn.IFNA(VLOOKUP(D23,Feedstuff[],37,FALSE),0)</f>
        <v>0</v>
      </c>
      <c r="S23" s="112">
        <f>_xlfn.IFNA(VLOOKUP(D23,Feedstuff[],34,FALSE),0)</f>
        <v>0</v>
      </c>
      <c r="T23" s="112">
        <f>_xlfn.IFNA(VLOOKUP(D23,Feedstuff[],38,FALSE),0)</f>
        <v>0</v>
      </c>
      <c r="U23" s="112">
        <f>_xlfn.IFNA(VLOOKUP(D23,Feedstuff[],20,FALSE),0)</f>
        <v>0</v>
      </c>
      <c r="V23" s="112">
        <f>_xlfn.IFNA(VLOOKUP(D23,Feedstuff[],21,FALSE),0)</f>
        <v>0</v>
      </c>
      <c r="W23" s="112">
        <f>_xlfn.IFNA(VLOOKUP(D23,Feedstuff[],25,FALSE),)</f>
        <v>0</v>
      </c>
      <c r="X23" s="166"/>
      <c r="Y23" s="167"/>
      <c r="Z23" s="112" t="str">
        <f>_xlfn.IFNA(IF($L$7="&lt; 28 day broiler",(VLOOKUP(D23,Feedstuff[],28,FALSE)),IF($L$7="broiler",(VLOOKUP(D23,Feedstuff[],29,FALSE)),IF($L$7="Hen",(VLOOKUP(D23,Feedstuff[],30,FALSE)),0))),"0")</f>
        <v>0</v>
      </c>
      <c r="AA23" s="168" t="str">
        <f t="shared" si="0"/>
        <v/>
      </c>
      <c r="AB23" s="166"/>
      <c r="AC23" s="169"/>
      <c r="AD23" s="170">
        <f t="shared" si="2"/>
        <v>0</v>
      </c>
      <c r="AE23" s="171" t="e">
        <f t="shared" si="3"/>
        <v>#DIV/0!</v>
      </c>
      <c r="AF23" s="166"/>
      <c r="AG23" s="172">
        <f>_xlfn.IFNA(VLOOKUP(D23,Feedstuff[],15,FALSE),0)</f>
        <v>0</v>
      </c>
      <c r="AH23" s="172">
        <f>_xlfn.IFNA(VLOOKUP(D22,Feedstuff[],16,FALSE),0)</f>
        <v>0</v>
      </c>
      <c r="AI23" s="172">
        <f>_xlfn.IFNA(VLOOKUP(D23,Feedstuff[],17,FALSE),0)</f>
        <v>0</v>
      </c>
      <c r="AJ23" s="172">
        <f>_xlfn.IFNA(VLOOKUP(D23,Feedstuff[],18,FALSE),0)</f>
        <v>0</v>
      </c>
      <c r="AK23" s="172">
        <f>_xlfn.IFNA(VLOOKUP(D23,Feedstuff[],19,FALSE),0)</f>
        <v>0</v>
      </c>
      <c r="AL23" s="172">
        <f>_xlfn.IFNA(VLOOKUP(D23,Feedstuff[],23,FALSE),0)</f>
        <v>0</v>
      </c>
      <c r="AM23" s="172">
        <f>_xlfn.IFNA(VLOOKUP(D23,Feedstuff[],24,FALSE),0)</f>
        <v>0</v>
      </c>
      <c r="AN23" s="172">
        <f>_xlfn.IFNA(VLOOKUP(D23,Feedstuff[],31,FALSE),0)</f>
        <v>0</v>
      </c>
      <c r="AO23" s="172">
        <f>_xlfn.IFNA(VLOOKUP(D23,Feedstuff[],32,FALSE),0)</f>
        <v>0</v>
      </c>
    </row>
    <row r="24" spans="2:41" x14ac:dyDescent="0.25">
      <c r="B24" s="125"/>
      <c r="C24" s="162">
        <v>11</v>
      </c>
      <c r="D24" s="163"/>
      <c r="E24" s="164">
        <f t="shared" si="1"/>
        <v>0</v>
      </c>
      <c r="F24" s="110">
        <v>0</v>
      </c>
      <c r="G24" s="112">
        <f>_xlfn.IFNA(VLOOKUP(D24,Feedstuff[],26,FALSE),0)</f>
        <v>0</v>
      </c>
      <c r="H24" s="112">
        <f>_xlfn.IFNA(VLOOKUP(D24,Feedstuff[],5,FALSE),0)</f>
        <v>0</v>
      </c>
      <c r="I24" s="112">
        <f>_xlfn.IFNA(VLOOKUP(D24,Feedstuff[],7,FALSE),0)</f>
        <v>0</v>
      </c>
      <c r="J24" s="112">
        <f>_xlfn.IFNA(VLOOKUP(D24,Feedstuff[],6,FALSE),0)</f>
        <v>0</v>
      </c>
      <c r="K24" s="112">
        <f>_xlfn.IFNA(VLOOKUP(D24,Feedstuff[],9,FALSE),0)</f>
        <v>0</v>
      </c>
      <c r="L24" s="112">
        <f>_xlfn.IFNA(VLOOKUP(D24,Feedstuff[],11,FALSE),0)</f>
        <v>0</v>
      </c>
      <c r="M24" s="112">
        <f>_xlfn.IFNA(VLOOKUP(D24,Feedstuff[],13,FALSE),0)</f>
        <v>0</v>
      </c>
      <c r="N24" s="112">
        <f>_xlfn.IFNA(VLOOKUP(D24,Feedstuff[],10,FALSE),0)</f>
        <v>0</v>
      </c>
      <c r="O24" s="112">
        <f>_xlfn.IFNA(VLOOKUP(D24,Feedstuff[],14,FALSE),0)</f>
        <v>0</v>
      </c>
      <c r="P24" s="112">
        <f>_xlfn.IFNA(VLOOKUP(D24,Feedstuff[],33,FALSE),0)</f>
        <v>0</v>
      </c>
      <c r="Q24" s="165">
        <f>_xlfn.IFNA(VLOOKUP(D24,Feedstuff[],35,FALSE),0)</f>
        <v>0</v>
      </c>
      <c r="R24" s="112">
        <f>_xlfn.IFNA(VLOOKUP(D24,Feedstuff[],37,FALSE),0)</f>
        <v>0</v>
      </c>
      <c r="S24" s="112">
        <f>_xlfn.IFNA(VLOOKUP(D24,Feedstuff[],34,FALSE),0)</f>
        <v>0</v>
      </c>
      <c r="T24" s="112">
        <f>_xlfn.IFNA(VLOOKUP(D24,Feedstuff[],38,FALSE),0)</f>
        <v>0</v>
      </c>
      <c r="U24" s="112">
        <f>_xlfn.IFNA(VLOOKUP(D24,Feedstuff[],20,FALSE),0)</f>
        <v>0</v>
      </c>
      <c r="V24" s="112">
        <f>_xlfn.IFNA(VLOOKUP(D24,Feedstuff[],21,FALSE),0)</f>
        <v>0</v>
      </c>
      <c r="W24" s="112">
        <f>_xlfn.IFNA(VLOOKUP(D24,Feedstuff[],25,FALSE),)</f>
        <v>0</v>
      </c>
      <c r="X24" s="166"/>
      <c r="Y24" s="167"/>
      <c r="Z24" s="112" t="str">
        <f>_xlfn.IFNA(IF($L$7="&lt; 28 day broiler",(VLOOKUP(D24,Feedstuff[],28,FALSE)),IF($L$7="broiler",(VLOOKUP(D24,Feedstuff[],29,FALSE)),IF($L$7="Hen",(VLOOKUP(D24,Feedstuff[],30,FALSE)),0))),"0")</f>
        <v>0</v>
      </c>
      <c r="AA24" s="168" t="str">
        <f t="shared" si="0"/>
        <v/>
      </c>
      <c r="AB24" s="166"/>
      <c r="AC24" s="169"/>
      <c r="AD24" s="170">
        <f t="shared" si="2"/>
        <v>0</v>
      </c>
      <c r="AE24" s="171" t="e">
        <f t="shared" si="3"/>
        <v>#DIV/0!</v>
      </c>
      <c r="AF24" s="166"/>
      <c r="AG24" s="172">
        <f>_xlfn.IFNA(VLOOKUP(D24,Feedstuff[],15,FALSE),0)</f>
        <v>0</v>
      </c>
      <c r="AH24" s="172">
        <f>_xlfn.IFNA(VLOOKUP(D23,Feedstuff[],16,FALSE),0)</f>
        <v>0</v>
      </c>
      <c r="AI24" s="172">
        <f>_xlfn.IFNA(VLOOKUP(D24,Feedstuff[],17,FALSE),0)</f>
        <v>0</v>
      </c>
      <c r="AJ24" s="172">
        <f>_xlfn.IFNA(VLOOKUP(D24,Feedstuff[],18,FALSE),0)</f>
        <v>0</v>
      </c>
      <c r="AK24" s="172">
        <f>_xlfn.IFNA(VLOOKUP(D24,Feedstuff[],19,FALSE),0)</f>
        <v>0</v>
      </c>
      <c r="AL24" s="172">
        <f>_xlfn.IFNA(VLOOKUP(D24,Feedstuff[],23,FALSE),0)</f>
        <v>0</v>
      </c>
      <c r="AM24" s="172">
        <f>_xlfn.IFNA(VLOOKUP(D24,Feedstuff[],24,FALSE),0)</f>
        <v>0</v>
      </c>
      <c r="AN24" s="172">
        <f>_xlfn.IFNA(VLOOKUP(D24,Feedstuff[],31,FALSE),0)</f>
        <v>0</v>
      </c>
      <c r="AO24" s="172">
        <f>_xlfn.IFNA(VLOOKUP(D24,Feedstuff[],32,FALSE),0)</f>
        <v>0</v>
      </c>
    </row>
    <row r="25" spans="2:41" ht="16.5" customHeight="1" x14ac:dyDescent="0.25">
      <c r="B25" s="125"/>
      <c r="C25" s="162">
        <v>12</v>
      </c>
      <c r="D25" s="163"/>
      <c r="E25" s="164">
        <f t="shared" si="1"/>
        <v>0</v>
      </c>
      <c r="F25" s="110">
        <v>0</v>
      </c>
      <c r="G25" s="112">
        <f>_xlfn.IFNA(VLOOKUP(D25,Feedstuff[],26,FALSE),0)</f>
        <v>0</v>
      </c>
      <c r="H25" s="112">
        <f>_xlfn.IFNA(VLOOKUP(D25,Feedstuff[],5,FALSE),0)</f>
        <v>0</v>
      </c>
      <c r="I25" s="112">
        <f>_xlfn.IFNA(VLOOKUP(D25,Feedstuff[],7,FALSE),0)</f>
        <v>0</v>
      </c>
      <c r="J25" s="112">
        <f>_xlfn.IFNA(VLOOKUP(D25,Feedstuff[],6,FALSE),0)</f>
        <v>0</v>
      </c>
      <c r="K25" s="112">
        <f>_xlfn.IFNA(VLOOKUP(D25,Feedstuff[],9,FALSE),0)</f>
        <v>0</v>
      </c>
      <c r="L25" s="112">
        <f>_xlfn.IFNA(VLOOKUP(D25,Feedstuff[],11,FALSE),0)</f>
        <v>0</v>
      </c>
      <c r="M25" s="112">
        <f>_xlfn.IFNA(VLOOKUP(D25,Feedstuff[],13,FALSE),0)</f>
        <v>0</v>
      </c>
      <c r="N25" s="112">
        <f>_xlfn.IFNA(VLOOKUP(D25,Feedstuff[],10,FALSE),0)</f>
        <v>0</v>
      </c>
      <c r="O25" s="112">
        <f>_xlfn.IFNA(VLOOKUP(D25,Feedstuff[],14,FALSE),0)</f>
        <v>0</v>
      </c>
      <c r="P25" s="112">
        <f>_xlfn.IFNA(VLOOKUP(D25,Feedstuff[],33,FALSE),0)</f>
        <v>0</v>
      </c>
      <c r="Q25" s="165">
        <f>_xlfn.IFNA(VLOOKUP(D25,Feedstuff[],35,FALSE),0)</f>
        <v>0</v>
      </c>
      <c r="R25" s="112">
        <f>_xlfn.IFNA(VLOOKUP(D25,Feedstuff[],37,FALSE),0)</f>
        <v>0</v>
      </c>
      <c r="S25" s="112">
        <f>_xlfn.IFNA(VLOOKUP(D25,Feedstuff[],34,FALSE),0)</f>
        <v>0</v>
      </c>
      <c r="T25" s="112">
        <f>_xlfn.IFNA(VLOOKUP(D25,Feedstuff[],38,FALSE),0)</f>
        <v>0</v>
      </c>
      <c r="U25" s="112">
        <f>_xlfn.IFNA(VLOOKUP(D25,Feedstuff[],20,FALSE),0)</f>
        <v>0</v>
      </c>
      <c r="V25" s="112">
        <f>_xlfn.IFNA(VLOOKUP(D25,Feedstuff[],21,FALSE),0)</f>
        <v>0</v>
      </c>
      <c r="W25" s="112">
        <f>_xlfn.IFNA(VLOOKUP(D25,Feedstuff[],25,FALSE),)</f>
        <v>0</v>
      </c>
      <c r="X25" s="166"/>
      <c r="Y25" s="167"/>
      <c r="Z25" s="112" t="str">
        <f>_xlfn.IFNA(IF($L$7="&lt; 28 day broiler",(VLOOKUP(D25,Feedstuff[],28,FALSE)),IF($L$7="broiler",(VLOOKUP(D25,Feedstuff[],29,FALSE)),IF($L$7="Hen",(VLOOKUP(D25,Feedstuff[],30,FALSE)),0))),"0")</f>
        <v>0</v>
      </c>
      <c r="AA25" s="168" t="str">
        <f t="shared" si="0"/>
        <v/>
      </c>
      <c r="AB25" s="166"/>
      <c r="AC25" s="169"/>
      <c r="AD25" s="170">
        <f t="shared" si="2"/>
        <v>0</v>
      </c>
      <c r="AE25" s="171" t="e">
        <f t="shared" si="3"/>
        <v>#DIV/0!</v>
      </c>
      <c r="AF25" s="166"/>
      <c r="AG25" s="172">
        <f>_xlfn.IFNA(VLOOKUP(D25,Feedstuff[],15,FALSE),0)</f>
        <v>0</v>
      </c>
      <c r="AH25" s="172">
        <f>_xlfn.IFNA(VLOOKUP(D24,Feedstuff[],16,FALSE),0)</f>
        <v>0</v>
      </c>
      <c r="AI25" s="172">
        <f>_xlfn.IFNA(VLOOKUP(D25,Feedstuff[],17,FALSE),0)</f>
        <v>0</v>
      </c>
      <c r="AJ25" s="172">
        <f>_xlfn.IFNA(VLOOKUP(D25,Feedstuff[],18,FALSE),0)</f>
        <v>0</v>
      </c>
      <c r="AK25" s="172">
        <f>_xlfn.IFNA(VLOOKUP(D25,Feedstuff[],19,FALSE),0)</f>
        <v>0</v>
      </c>
      <c r="AL25" s="172">
        <f>_xlfn.IFNA(VLOOKUP(D25,Feedstuff[],23,FALSE),0)</f>
        <v>0</v>
      </c>
      <c r="AM25" s="172">
        <f>_xlfn.IFNA(VLOOKUP(D25,Feedstuff[],24,FALSE),0)</f>
        <v>0</v>
      </c>
      <c r="AN25" s="172">
        <f>_xlfn.IFNA(VLOOKUP(D25,Feedstuff[],31,FALSE),0)</f>
        <v>0</v>
      </c>
      <c r="AO25" s="172">
        <f>_xlfn.IFNA(VLOOKUP(D25,Feedstuff[],32,FALSE),0)</f>
        <v>0</v>
      </c>
    </row>
    <row r="26" spans="2:41" ht="12" customHeight="1" x14ac:dyDescent="0.25">
      <c r="B26" s="125"/>
      <c r="C26" s="121"/>
      <c r="D26" s="121"/>
      <c r="E26" s="121"/>
      <c r="F26" s="121"/>
      <c r="G26" s="121"/>
      <c r="H26" s="121"/>
      <c r="I26" s="121"/>
      <c r="J26" s="121"/>
      <c r="K26" s="121"/>
      <c r="L26" s="121"/>
      <c r="M26" s="121"/>
      <c r="N26" s="121"/>
      <c r="O26" s="121"/>
      <c r="P26" s="121"/>
      <c r="Q26" s="121"/>
      <c r="R26" s="121"/>
      <c r="S26" s="121"/>
      <c r="T26" s="121"/>
      <c r="U26" s="121"/>
      <c r="V26" s="121"/>
      <c r="W26" s="121"/>
      <c r="X26" s="131"/>
      <c r="Y26" s="131"/>
      <c r="Z26" s="166"/>
      <c r="AA26" s="131"/>
      <c r="AB26" s="131"/>
      <c r="AC26" s="131"/>
      <c r="AD26" s="131"/>
      <c r="AE26" s="173"/>
      <c r="AF26" s="131"/>
    </row>
    <row r="27" spans="2:41" x14ac:dyDescent="0.25">
      <c r="B27" s="125"/>
      <c r="C27" s="121"/>
      <c r="D27" s="174" t="s">
        <v>60</v>
      </c>
      <c r="E27" s="111">
        <f>SUM(E14:E25)</f>
        <v>0</v>
      </c>
      <c r="F27" s="111">
        <f>SUM(F14:F25)</f>
        <v>0</v>
      </c>
      <c r="G27" s="112">
        <f>SUMPRODUCT($F$14:$F$25,G14:G25)/100</f>
        <v>0</v>
      </c>
      <c r="H27" s="112">
        <f>SUMPRODUCT($F$14:$F$25,H14:H25)/100</f>
        <v>0</v>
      </c>
      <c r="I27" s="112">
        <f>SUMPRODUCT($F$14:$F$25,I14:I25)/100</f>
        <v>0</v>
      </c>
      <c r="J27" s="112">
        <f t="shared" ref="J27:T27" si="4">SUMPRODUCT($F$14:$F$25,J14:J25)/100</f>
        <v>0</v>
      </c>
      <c r="K27" s="112">
        <f t="shared" si="4"/>
        <v>0</v>
      </c>
      <c r="L27" s="112">
        <f t="shared" si="4"/>
        <v>0</v>
      </c>
      <c r="M27" s="112">
        <f t="shared" si="4"/>
        <v>0</v>
      </c>
      <c r="N27" s="112">
        <f t="shared" si="4"/>
        <v>0</v>
      </c>
      <c r="O27" s="112">
        <f t="shared" si="4"/>
        <v>0</v>
      </c>
      <c r="P27" s="112">
        <f t="shared" si="4"/>
        <v>0</v>
      </c>
      <c r="Q27" s="112">
        <f t="shared" si="4"/>
        <v>0</v>
      </c>
      <c r="R27" s="112">
        <f t="shared" si="4"/>
        <v>0</v>
      </c>
      <c r="S27" s="112">
        <f t="shared" si="4"/>
        <v>0</v>
      </c>
      <c r="T27" s="112">
        <f t="shared" si="4"/>
        <v>0</v>
      </c>
      <c r="U27" s="112">
        <f>SUMPRODUCT($F$14:$F$25,U14:U25)/1000</f>
        <v>0</v>
      </c>
      <c r="V27" s="112">
        <f>SUMPRODUCT($F$14:$F$25,V14:V25)/1000</f>
        <v>0</v>
      </c>
      <c r="W27" s="112">
        <f>SUMPRODUCT($F$14:$F$25,W14:W25)/1000</f>
        <v>0</v>
      </c>
      <c r="X27" s="175"/>
      <c r="Y27" s="166"/>
      <c r="Z27" s="166"/>
      <c r="AA27" s="166"/>
      <c r="AB27" s="166"/>
      <c r="AC27" s="176"/>
      <c r="AD27" s="170">
        <f>SUM(AD14:AD25)</f>
        <v>0</v>
      </c>
      <c r="AE27" s="177"/>
      <c r="AF27" s="166"/>
      <c r="AG27" s="172">
        <f>IF($E$13="%",(SUMPRODUCT($E$14:$E$25,AG14:AG25)/100),(SUMPRODUCT($F$14:$F$25,AG14:AG25)/100))</f>
        <v>0</v>
      </c>
      <c r="AH27" s="172">
        <f>IF($E$13="%",(SUMPRODUCT($E$14:$E$25,AH14:AH25)/100),(SUMPRODUCT($F$14:$F$25,AH14:AH25)/100))</f>
        <v>0</v>
      </c>
      <c r="AI27" s="172">
        <f t="shared" ref="AI27:AO27" si="5">IF($E$13="%",(SUMPRODUCT($E$14:$E$25,AI14:AI25)/100),(SUMPRODUCT($F$14:$F$25,AI14:AI25)/100))</f>
        <v>0</v>
      </c>
      <c r="AJ27" s="172">
        <f t="shared" si="5"/>
        <v>0</v>
      </c>
      <c r="AK27" s="172">
        <f t="shared" si="5"/>
        <v>0</v>
      </c>
      <c r="AL27" s="172">
        <f t="shared" si="5"/>
        <v>0</v>
      </c>
      <c r="AM27" s="172">
        <f t="shared" si="5"/>
        <v>0</v>
      </c>
      <c r="AN27" s="172">
        <f t="shared" si="5"/>
        <v>0</v>
      </c>
      <c r="AO27" s="172">
        <f t="shared" si="5"/>
        <v>0</v>
      </c>
    </row>
    <row r="28" spans="2:41" x14ac:dyDescent="0.25">
      <c r="B28" s="125"/>
      <c r="C28" s="121"/>
      <c r="D28" s="178" t="s">
        <v>61</v>
      </c>
      <c r="E28" s="179">
        <f>E11-E27</f>
        <v>0</v>
      </c>
      <c r="F28" s="113" t="s">
        <v>62</v>
      </c>
      <c r="G28" s="114"/>
      <c r="H28" s="114"/>
      <c r="I28" s="114"/>
      <c r="J28" s="114"/>
      <c r="K28" s="114"/>
      <c r="L28" s="114"/>
      <c r="M28" s="114"/>
      <c r="N28" s="114"/>
      <c r="O28" s="114"/>
      <c r="P28" s="114"/>
      <c r="Q28" s="114"/>
      <c r="R28" s="114"/>
      <c r="S28" s="114"/>
      <c r="T28" s="114"/>
      <c r="U28" s="114"/>
      <c r="V28" s="114"/>
      <c r="W28" s="114"/>
      <c r="X28" s="131"/>
      <c r="Y28" s="131"/>
      <c r="Z28" s="131"/>
      <c r="AA28" s="131"/>
      <c r="AB28" s="131"/>
      <c r="AC28" s="131"/>
      <c r="AD28" s="131"/>
      <c r="AE28" s="173"/>
      <c r="AF28" s="131"/>
    </row>
    <row r="29" spans="2:41" s="186" customFormat="1" ht="30" x14ac:dyDescent="0.25">
      <c r="B29" s="180"/>
      <c r="C29" s="181"/>
      <c r="D29" s="181"/>
      <c r="E29" s="181"/>
      <c r="F29" s="115"/>
      <c r="G29" s="116" t="s">
        <v>63</v>
      </c>
      <c r="H29" s="116" t="s">
        <v>64</v>
      </c>
      <c r="I29" s="116" t="s">
        <v>65</v>
      </c>
      <c r="J29" s="116" t="s">
        <v>66</v>
      </c>
      <c r="K29" s="116" t="s">
        <v>67</v>
      </c>
      <c r="L29" s="116" t="s">
        <v>68</v>
      </c>
      <c r="M29" s="116" t="s">
        <v>69</v>
      </c>
      <c r="N29" s="116" t="s">
        <v>70</v>
      </c>
      <c r="O29" s="116" t="s">
        <v>71</v>
      </c>
      <c r="P29" s="117" t="s">
        <v>72</v>
      </c>
      <c r="Q29" s="117" t="s">
        <v>73</v>
      </c>
      <c r="R29" s="117" t="s">
        <v>74</v>
      </c>
      <c r="S29" s="117" t="s">
        <v>75</v>
      </c>
      <c r="T29" s="117" t="s">
        <v>76</v>
      </c>
      <c r="U29" s="116" t="s">
        <v>77</v>
      </c>
      <c r="V29" s="116" t="s">
        <v>78</v>
      </c>
      <c r="W29" s="116" t="s">
        <v>79</v>
      </c>
      <c r="X29" s="182"/>
      <c r="Y29" s="182"/>
      <c r="Z29" s="182"/>
      <c r="AA29" s="183"/>
      <c r="AB29" s="183"/>
      <c r="AC29" s="116" t="s">
        <v>80</v>
      </c>
      <c r="AD29" s="184">
        <f>SUMPRODUCT(F14:F25,AC14:AC25)/100</f>
        <v>0</v>
      </c>
      <c r="AE29" s="185"/>
      <c r="AF29" s="182"/>
    </row>
    <row r="30" spans="2:41" x14ac:dyDescent="0.25">
      <c r="B30" s="125"/>
      <c r="C30" s="121"/>
      <c r="D30" s="121"/>
      <c r="E30" s="121"/>
      <c r="F30" s="118" t="s">
        <v>36</v>
      </c>
      <c r="G30" s="111">
        <f>_xlfn.IFNA(VLOOKUP($L$12,Requirment[],10,FALSE)," ")</f>
        <v>12.953212459321247</v>
      </c>
      <c r="H30" s="111">
        <f>_xlfn.IFNA(VLOOKUP($L$12,Requirment[],11,FALSE)," ")</f>
        <v>17.11249122807018</v>
      </c>
      <c r="I30" s="111">
        <f>_xlfn.IFNA(VLOOKUP($L$12,Requirment[],12,FALSE)," ")</f>
        <v>4.5600162206001622</v>
      </c>
      <c r="J30" s="111">
        <f>_xlfn.IFNA(VLOOKUP($L$12,Requirment[],13,FALSE)," ")</f>
        <v>3.5000000000000009</v>
      </c>
      <c r="K30" s="111">
        <f>_xlfn.IFNA(VLOOKUP($L$12,Requirment[],17,FALSE)," ")</f>
        <v>0.62900062900062903</v>
      </c>
      <c r="L30" s="111">
        <f>_xlfn.IFNA(VLOOKUP($L$12,Requirment[],19,FALSE)," ")</f>
        <v>0.77777777777777768</v>
      </c>
      <c r="M30" s="111">
        <f>_xlfn.IFNA(VLOOKUP($L$12,Requirment[],21,FALSE)," ")</f>
        <v>0.62283333333333346</v>
      </c>
      <c r="N30" s="111">
        <f>_xlfn.IFNA(VLOOKUP($L$12,Requirment[],23,FALSE)," ")</f>
        <v>0.26666666666666672</v>
      </c>
      <c r="O30" s="111">
        <f>_xlfn.IFNA(VLOOKUP($L$12,Requirment[],25,FALSE)," ")</f>
        <v>0.33333333333333331</v>
      </c>
      <c r="P30" s="111">
        <f>_xlfn.IFNA(VLOOKUP($L$12,Requirment[],18,FALSE)," ")</f>
        <v>0.29600029600029604</v>
      </c>
      <c r="Q30" s="111">
        <f>_xlfn.IFNA(VLOOKUP($L$12,Requirment[],20,FALSE)," ")</f>
        <v>0.3429444444444445</v>
      </c>
      <c r="R30" s="111">
        <f>_xlfn.IFNA(VLOOKUP($L$12,Requirment[],22,FALSE)," ")</f>
        <v>0.48627777777777786</v>
      </c>
      <c r="S30" s="111">
        <f>_xlfn.IFNA(VLOOKUP($L$12,Requirment[],20,FALSE)," ")</f>
        <v>0.3429444444444445</v>
      </c>
      <c r="T30" s="111">
        <f>_xlfn.IFNA(VLOOKUP($L$12,Requirment[],26,FALSE)," ")</f>
        <v>0.18333333333333332</v>
      </c>
      <c r="U30" s="111">
        <f>_xlfn.IFNA(VLOOKUP($L$12,Requirment[],14,FALSE)," ")</f>
        <v>0.86333419666752997</v>
      </c>
      <c r="V30" s="111">
        <f>_xlfn.IFNA(VLOOKUP($L$12,Requirment[],15,FALSE)," ")</f>
        <v>0.40700040700040702</v>
      </c>
      <c r="W30" s="111">
        <f>_xlfn.IFNA(VLOOKUP($L$12,Requirment[],16,FALSE)," ")</f>
        <v>0.70300070300070316</v>
      </c>
      <c r="AA30" s="121"/>
      <c r="AC30" s="121"/>
      <c r="AD30" s="121"/>
      <c r="AE30" s="128"/>
      <c r="AF30" s="187"/>
    </row>
    <row r="31" spans="2:41" x14ac:dyDescent="0.25">
      <c r="B31" s="125"/>
      <c r="C31" s="121"/>
      <c r="D31" s="121"/>
      <c r="E31" s="121"/>
      <c r="F31" s="118" t="s">
        <v>81</v>
      </c>
      <c r="G31" s="111">
        <f>_xlfn.IFNA(VLOOKUP($L$12,Requirment[],27,FALSE)," ")</f>
        <v>0</v>
      </c>
      <c r="H31" s="111">
        <f>_xlfn.IFNA(VLOOKUP($L$12,Requirment[],28,FALSE)," ")</f>
        <v>0</v>
      </c>
      <c r="I31" s="111">
        <f>_xlfn.IFNA(VLOOKUP($L$12,Requirment[],29,FALSE)," ")</f>
        <v>0</v>
      </c>
      <c r="J31" s="111">
        <f>_xlfn.IFNA(VLOOKUP($L$12,Requirment[],30,FALSE)," ")</f>
        <v>0</v>
      </c>
      <c r="K31" s="111">
        <f>_xlfn.IFNA(VLOOKUP($L$12,Requirment[],34,FALSE)," ")</f>
        <v>0</v>
      </c>
      <c r="L31" s="111">
        <f>_xlfn.IFNA(VLOOKUP($L$12,Requirment[],36,FALSE)," ")</f>
        <v>0</v>
      </c>
      <c r="M31" s="111">
        <f>_xlfn.IFNA(VLOOKUP($L$12,Requirment[],38,FALSE)," ")</f>
        <v>0</v>
      </c>
      <c r="N31" s="111">
        <f>_xlfn.IFNA(VLOOKUP($L$12,Requirment[],40,FALSE)," ")</f>
        <v>0</v>
      </c>
      <c r="O31" s="111">
        <f>_xlfn.IFNA(VLOOKUP($L$12,Requirment[],42,FALSE)," ")</f>
        <v>0</v>
      </c>
      <c r="P31" s="111">
        <f>_xlfn.IFNA(VLOOKUP($L$12,Requirment[],35,FALSE)," ")</f>
        <v>0</v>
      </c>
      <c r="Q31" s="111">
        <f>_xlfn.IFNA(VLOOKUP($L$12,Requirment[],37,FALSE)," ")</f>
        <v>0</v>
      </c>
      <c r="R31" s="111">
        <f>_xlfn.IFNA(VLOOKUP($L$12,Requirment[],39,FALSE)," ")</f>
        <v>0</v>
      </c>
      <c r="S31" s="111">
        <f>_xlfn.IFNA(VLOOKUP($L$12,Requirment[],41,FALSE)," ")</f>
        <v>0</v>
      </c>
      <c r="T31" s="111">
        <f>_xlfn.IFNA(VLOOKUP($L$12,Requirment[],43,FALSE)," ")</f>
        <v>0</v>
      </c>
      <c r="U31" s="111">
        <f>_xlfn.IFNA(VLOOKUP($L$12,Requirment[],31,FALSE)," ")</f>
        <v>0</v>
      </c>
      <c r="V31" s="111">
        <f>_xlfn.IFNA(VLOOKUP($L$12,Requirment[],15,FALSE)," ")</f>
        <v>0.40700040700040702</v>
      </c>
      <c r="W31" s="111">
        <f>_xlfn.IFNA(VLOOKUP($L$12,Requirment[],33,FALSE)," ")</f>
        <v>0</v>
      </c>
      <c r="AA31" s="121"/>
      <c r="AC31" s="121"/>
      <c r="AD31" s="121"/>
      <c r="AE31" s="128"/>
      <c r="AF31" s="187"/>
    </row>
    <row r="32" spans="2:41" ht="15.75" thickBot="1" x14ac:dyDescent="0.3">
      <c r="B32" s="188"/>
      <c r="C32" s="189"/>
      <c r="D32" s="189"/>
      <c r="E32" s="189"/>
      <c r="F32" s="189"/>
      <c r="G32" s="190"/>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91"/>
    </row>
    <row r="33" spans="5:7" ht="5.25" customHeight="1" x14ac:dyDescent="0.25">
      <c r="G33" s="192"/>
    </row>
    <row r="34" spans="5:7" x14ac:dyDescent="0.25">
      <c r="E34" s="163"/>
      <c r="F34" s="193" t="s">
        <v>82</v>
      </c>
    </row>
    <row r="35" spans="5:7" x14ac:dyDescent="0.25">
      <c r="E35" s="194"/>
      <c r="F35" s="120" t="s">
        <v>83</v>
      </c>
    </row>
  </sheetData>
  <mergeCells count="13">
    <mergeCell ref="E7:G7"/>
    <mergeCell ref="E8:G8"/>
    <mergeCell ref="E9:G9"/>
    <mergeCell ref="E10:G10"/>
    <mergeCell ref="L3:R3"/>
    <mergeCell ref="L4:R4"/>
    <mergeCell ref="L6:R6"/>
    <mergeCell ref="L5:R5"/>
    <mergeCell ref="E3:G3"/>
    <mergeCell ref="E4:G4"/>
    <mergeCell ref="E5:G5"/>
    <mergeCell ref="E6:G6"/>
    <mergeCell ref="L7:R7"/>
  </mergeCells>
  <conditionalFormatting sqref="AA14:AA25">
    <cfRule type="containsText" dxfId="104" priority="177" operator="containsText" text="MAX">
      <formula>NOT(ISERROR(SEARCH("MAX",AA14)))</formula>
    </cfRule>
    <cfRule type="containsText" dxfId="103" priority="178" operator="containsText" text="OK">
      <formula>NOT(ISERROR(SEARCH("OK",AA14)))</formula>
    </cfRule>
    <cfRule type="containsText" dxfId="102" priority="179" operator="containsText" text="SUP">
      <formula>NOT(ISERROR(SEARCH("SUP",AA14)))</formula>
    </cfRule>
  </conditionalFormatting>
  <conditionalFormatting sqref="F27">
    <cfRule type="cellIs" dxfId="101" priority="176" operator="notEqual">
      <formula>100</formula>
    </cfRule>
  </conditionalFormatting>
  <conditionalFormatting sqref="D14:D25">
    <cfRule type="duplicateValues" dxfId="100" priority="171"/>
  </conditionalFormatting>
  <conditionalFormatting sqref="G27">
    <cfRule type="cellIs" dxfId="99" priority="98" operator="greaterThanOrEqual">
      <formula>$G$31</formula>
    </cfRule>
    <cfRule type="cellIs" dxfId="98" priority="99" operator="lessThanOrEqual">
      <formula>$G$30</formula>
    </cfRule>
    <cfRule type="cellIs" dxfId="97" priority="100" operator="greaterThanOrEqual">
      <formula>$G$31+($G$31*5%)</formula>
    </cfRule>
    <cfRule type="cellIs" dxfId="96" priority="101" operator="lessThanOrEqual">
      <formula>$G$30-($G$30*5%)</formula>
    </cfRule>
    <cfRule type="cellIs" dxfId="95" priority="102" operator="greaterThanOrEqual">
      <formula>$G$31+($G$31*10%)</formula>
    </cfRule>
    <cfRule type="cellIs" dxfId="94" priority="103" operator="lessThanOrEqual">
      <formula>$G$30-($G$30*10%)</formula>
    </cfRule>
  </conditionalFormatting>
  <conditionalFormatting sqref="H27">
    <cfRule type="cellIs" dxfId="93" priority="91" operator="lessThanOrEqual">
      <formula>$H$30</formula>
    </cfRule>
    <cfRule type="cellIs" dxfId="92" priority="93" operator="greaterThanOrEqual">
      <formula>$H$31</formula>
    </cfRule>
    <cfRule type="cellIs" dxfId="91" priority="94" operator="lessThanOrEqual">
      <formula>$H$30-($H$30*5%)</formula>
    </cfRule>
    <cfRule type="cellIs" dxfId="90" priority="95" operator="greaterThanOrEqual">
      <formula>$H$31+($H$31*5%)</formula>
    </cfRule>
    <cfRule type="cellIs" dxfId="89" priority="96" operator="greaterThanOrEqual">
      <formula>$H$31+($H$31*10%)</formula>
    </cfRule>
    <cfRule type="cellIs" dxfId="88" priority="97" operator="lessThanOrEqual">
      <formula>$H$30-($H$30*10%)</formula>
    </cfRule>
  </conditionalFormatting>
  <conditionalFormatting sqref="I27">
    <cfRule type="cellIs" dxfId="87" priority="86" operator="greaterThanOrEqual">
      <formula>$I$31</formula>
    </cfRule>
    <cfRule type="cellIs" dxfId="86" priority="87" operator="lessThanOrEqual">
      <formula>$I$30</formula>
    </cfRule>
    <cfRule type="cellIs" dxfId="85" priority="88" operator="greaterThanOrEqual">
      <formula>$H$31+($H$31*5%)</formula>
    </cfRule>
    <cfRule type="cellIs" dxfId="84" priority="89" operator="lessThanOrEqual">
      <formula>$I$30-($I$30*5%)</formula>
    </cfRule>
    <cfRule type="cellIs" dxfId="83" priority="90" operator="lessThanOrEqual">
      <formula>$I$30-($I$30*10%)</formula>
    </cfRule>
  </conditionalFormatting>
  <conditionalFormatting sqref="J27">
    <cfRule type="cellIs" dxfId="82" priority="81" operator="greaterThanOrEqual">
      <formula>$J$31</formula>
    </cfRule>
    <cfRule type="cellIs" dxfId="81" priority="82" operator="lessThanOrEqual">
      <formula>$J$30</formula>
    </cfRule>
    <cfRule type="cellIs" dxfId="80" priority="83" operator="greaterThanOrEqual">
      <formula>$J$31+($J$31*5%)</formula>
    </cfRule>
    <cfRule type="cellIs" dxfId="79" priority="84" operator="lessThanOrEqual">
      <formula>$J$30-($J$30*5%)</formula>
    </cfRule>
    <cfRule type="cellIs" dxfId="78" priority="85" operator="lessThanOrEqual">
      <formula>$J$30-($J$30*10%)</formula>
    </cfRule>
  </conditionalFormatting>
  <conditionalFormatting sqref="K27">
    <cfRule type="cellIs" dxfId="77" priority="75" operator="greaterThanOrEqual">
      <formula>$K$31</formula>
    </cfRule>
    <cfRule type="cellIs" dxfId="76" priority="76" operator="lessThanOrEqual">
      <formula>$K$30</formula>
    </cfRule>
    <cfRule type="cellIs" dxfId="75" priority="77" operator="greaterThanOrEqual">
      <formula>$K$31+($K$31*5%)</formula>
    </cfRule>
    <cfRule type="cellIs" dxfId="74" priority="78" operator="lessThanOrEqual">
      <formula>$K$30-($K$30*5%)</formula>
    </cfRule>
    <cfRule type="cellIs" dxfId="73" priority="79" operator="greaterThanOrEqual">
      <formula>$K$31+($K$31*10%)</formula>
    </cfRule>
    <cfRule type="cellIs" dxfId="72" priority="80" operator="lessThanOrEqual">
      <formula>$K$30-($K$30*10%)</formula>
    </cfRule>
  </conditionalFormatting>
  <conditionalFormatting sqref="L27">
    <cfRule type="cellIs" dxfId="71" priority="69" operator="greaterThanOrEqual">
      <formula>$L$31</formula>
    </cfRule>
    <cfRule type="cellIs" dxfId="70" priority="70" operator="lessThanOrEqual">
      <formula>$L$30</formula>
    </cfRule>
    <cfRule type="cellIs" dxfId="69" priority="71" operator="greaterThanOrEqual">
      <formula>$L$31+($L$31*5%)</formula>
    </cfRule>
    <cfRule type="cellIs" dxfId="68" priority="72" operator="lessThanOrEqual">
      <formula>$L$30-($L$30*5%)</formula>
    </cfRule>
    <cfRule type="cellIs" dxfId="67" priority="73" operator="greaterThanOrEqual">
      <formula>$L$31+($L$31*10%)</formula>
    </cfRule>
    <cfRule type="cellIs" dxfId="66" priority="74" operator="lessThanOrEqual">
      <formula>$L$30-($L$30*10%)</formula>
    </cfRule>
  </conditionalFormatting>
  <conditionalFormatting sqref="M27">
    <cfRule type="cellIs" dxfId="65" priority="63" operator="greaterThanOrEqual">
      <formula>$M$31</formula>
    </cfRule>
    <cfRule type="cellIs" dxfId="64" priority="64" operator="lessThanOrEqual">
      <formula>$M$30</formula>
    </cfRule>
    <cfRule type="cellIs" dxfId="63" priority="65" operator="greaterThanOrEqual">
      <formula>$M$31+($M$31*5%)</formula>
    </cfRule>
    <cfRule type="cellIs" dxfId="62" priority="66" operator="lessThanOrEqual">
      <formula>$M$30-($M$30*5%)</formula>
    </cfRule>
    <cfRule type="cellIs" dxfId="61" priority="67" operator="greaterThanOrEqual">
      <formula>$M$31+($M$31*10%)</formula>
    </cfRule>
    <cfRule type="cellIs" dxfId="60" priority="68" operator="lessThanOrEqual">
      <formula>$M$30-($M$30*10%)</formula>
    </cfRule>
  </conditionalFormatting>
  <conditionalFormatting sqref="N27">
    <cfRule type="cellIs" dxfId="59" priority="56" operator="lessThanOrEqual">
      <formula>$N$30</formula>
    </cfRule>
    <cfRule type="cellIs" dxfId="58" priority="57" operator="greaterThanOrEqual">
      <formula>$N$31</formula>
    </cfRule>
    <cfRule type="cellIs" dxfId="57" priority="58" operator="greaterThanOrEqual">
      <formula>$N$31+($N$31*5%)</formula>
    </cfRule>
    <cfRule type="cellIs" dxfId="56" priority="59" operator="lessThanOrEqual">
      <formula>$N$30-($N$30*5%)</formula>
    </cfRule>
    <cfRule type="cellIs" dxfId="55" priority="60" operator="greaterThanOrEqual">
      <formula>$N$31+($N$30*10%)</formula>
    </cfRule>
    <cfRule type="cellIs" dxfId="54" priority="61" operator="lessThanOrEqual">
      <formula>$N$30-($N$30*10%)</formula>
    </cfRule>
  </conditionalFormatting>
  <conditionalFormatting sqref="O27">
    <cfRule type="cellIs" dxfId="53" priority="50" operator="lessThanOrEqual">
      <formula>$O$30</formula>
    </cfRule>
    <cfRule type="cellIs" dxfId="52" priority="51" operator="greaterThanOrEqual">
      <formula>$O$31</formula>
    </cfRule>
    <cfRule type="cellIs" dxfId="51" priority="52" operator="greaterThanOrEqual">
      <formula>$O$31+($O$31*5%)</formula>
    </cfRule>
    <cfRule type="cellIs" dxfId="50" priority="53" operator="lessThanOrEqual">
      <formula>$O$30-($O$30*5%)</formula>
    </cfRule>
    <cfRule type="cellIs" dxfId="49" priority="54" operator="greaterThanOrEqual">
      <formula>$O$31+($O$31*10%)</formula>
    </cfRule>
    <cfRule type="cellIs" dxfId="48" priority="55" operator="lessThanOrEqual">
      <formula>$O$30-($O$30*10%)</formula>
    </cfRule>
  </conditionalFormatting>
  <conditionalFormatting sqref="P27">
    <cfRule type="cellIs" dxfId="47" priority="44" operator="lessThanOrEqual">
      <formula>$P$30</formula>
    </cfRule>
    <cfRule type="cellIs" dxfId="46" priority="45" operator="greaterThanOrEqual">
      <formula>$P$31</formula>
    </cfRule>
    <cfRule type="cellIs" dxfId="45" priority="46" operator="greaterThanOrEqual">
      <formula>$P$31+($P$31*5%)</formula>
    </cfRule>
    <cfRule type="cellIs" dxfId="44" priority="47" operator="lessThanOrEqual">
      <formula>$P$30-($P$30*5%)</formula>
    </cfRule>
    <cfRule type="cellIs" dxfId="43" priority="48" operator="greaterThanOrEqual">
      <formula>$P$31+($P$31*10%)</formula>
    </cfRule>
    <cfRule type="cellIs" dxfId="42" priority="49" operator="lessThanOrEqual">
      <formula>$P$30-($P$30*10%)</formula>
    </cfRule>
  </conditionalFormatting>
  <conditionalFormatting sqref="Q27">
    <cfRule type="cellIs" dxfId="41" priority="38" operator="greaterThanOrEqual">
      <formula>$Q$31</formula>
    </cfRule>
    <cfRule type="cellIs" dxfId="40" priority="39" operator="lessThanOrEqual">
      <formula>$Q$30</formula>
    </cfRule>
    <cfRule type="cellIs" dxfId="39" priority="40" operator="greaterThanOrEqual">
      <formula>$Q$31+($Q$31*5%)</formula>
    </cfRule>
    <cfRule type="cellIs" dxfId="38" priority="41" operator="greaterThanOrEqual">
      <formula>$Q$30-($Q$30*5%)</formula>
    </cfRule>
    <cfRule type="cellIs" dxfId="37" priority="42" operator="greaterThanOrEqual">
      <formula>$Q$31+($Q$31*10%)</formula>
    </cfRule>
    <cfRule type="cellIs" dxfId="36" priority="43" operator="lessThanOrEqual">
      <formula>$Q$30-($Q$30*10%)</formula>
    </cfRule>
  </conditionalFormatting>
  <conditionalFormatting sqref="R27">
    <cfRule type="cellIs" dxfId="35" priority="31" operator="lessThanOrEqual">
      <formula>$R$30</formula>
    </cfRule>
    <cfRule type="cellIs" dxfId="34" priority="32" operator="greaterThanOrEqual">
      <formula>$R$31</formula>
    </cfRule>
    <cfRule type="cellIs" dxfId="33" priority="34" operator="lessThanOrEqual">
      <formula>$R$30-($R$30*5%)</formula>
    </cfRule>
    <cfRule type="cellIs" dxfId="32" priority="35" operator="greaterThanOrEqual">
      <formula>$R$31+($R$31*5%)</formula>
    </cfRule>
    <cfRule type="cellIs" dxfId="31" priority="36" operator="greaterThanOrEqual">
      <formula>$R$30+($R$30*10%)</formula>
    </cfRule>
    <cfRule type="cellIs" dxfId="30" priority="37" operator="lessThanOrEqual">
      <formula>$R$30-($R$30*10%)</formula>
    </cfRule>
  </conditionalFormatting>
  <conditionalFormatting sqref="S27">
    <cfRule type="cellIs" dxfId="29" priority="25" operator="greaterThanOrEqual">
      <formula>$S$31</formula>
    </cfRule>
    <cfRule type="cellIs" dxfId="28" priority="26" operator="lessThanOrEqual">
      <formula>$S$30</formula>
    </cfRule>
    <cfRule type="cellIs" dxfId="27" priority="27" operator="greaterThanOrEqual">
      <formula>$S$31+($S$31*5%)</formula>
    </cfRule>
    <cfRule type="cellIs" dxfId="26" priority="28" operator="lessThanOrEqual">
      <formula>$S$30-($S$30*5%)</formula>
    </cfRule>
    <cfRule type="cellIs" dxfId="25" priority="29" operator="greaterThanOrEqual">
      <formula>$S$31+($S$31*10%)</formula>
    </cfRule>
    <cfRule type="cellIs" dxfId="24" priority="30" operator="lessThanOrEqual">
      <formula>$S$30-($S$30*10%)</formula>
    </cfRule>
  </conditionalFormatting>
  <conditionalFormatting sqref="T27">
    <cfRule type="cellIs" dxfId="23" priority="19" operator="lessThanOrEqual">
      <formula>$T$30</formula>
    </cfRule>
    <cfRule type="cellIs" dxfId="22" priority="20" operator="greaterThanOrEqual">
      <formula>$T$31</formula>
    </cfRule>
    <cfRule type="cellIs" dxfId="21" priority="21" operator="greaterThanOrEqual">
      <formula>$T$31+($T$31*5%)</formula>
    </cfRule>
    <cfRule type="cellIs" dxfId="20" priority="22" operator="lessThanOrEqual">
      <formula>$T$30-($T$30*5%)</formula>
    </cfRule>
    <cfRule type="cellIs" dxfId="19" priority="23" operator="greaterThanOrEqual">
      <formula>$T$31+($T$31*10%)</formula>
    </cfRule>
    <cfRule type="cellIs" dxfId="18" priority="24" operator="lessThanOrEqual">
      <formula>$T$30-($T$30*10%)</formula>
    </cfRule>
  </conditionalFormatting>
  <conditionalFormatting sqref="U27">
    <cfRule type="cellIs" dxfId="17" priority="13" operator="greaterThanOrEqual">
      <formula>$U$31</formula>
    </cfRule>
    <cfRule type="cellIs" dxfId="16" priority="14" operator="lessThanOrEqual">
      <formula>$U$30</formula>
    </cfRule>
    <cfRule type="cellIs" dxfId="15" priority="15" operator="greaterThanOrEqual">
      <formula>$U$31+($U$31*5%)</formula>
    </cfRule>
    <cfRule type="cellIs" dxfId="14" priority="16" operator="lessThanOrEqual">
      <formula>$U$30-($U$30*5%)</formula>
    </cfRule>
    <cfRule type="cellIs" dxfId="13" priority="17" operator="greaterThanOrEqual">
      <formula>$U$31+($U$31*10%)</formula>
    </cfRule>
    <cfRule type="cellIs" dxfId="12" priority="18" operator="lessThanOrEqual">
      <formula>$U$30-($U$30*10%)</formula>
    </cfRule>
  </conditionalFormatting>
  <conditionalFormatting sqref="V27">
    <cfRule type="cellIs" dxfId="11" priority="7" operator="greaterThanOrEqual">
      <formula>$V$31</formula>
    </cfRule>
    <cfRule type="cellIs" dxfId="10" priority="8" operator="lessThanOrEqual">
      <formula>$V$30</formula>
    </cfRule>
    <cfRule type="cellIs" dxfId="9" priority="9" operator="greaterThanOrEqual">
      <formula>$V$31+($V$31*5%)</formula>
    </cfRule>
    <cfRule type="cellIs" dxfId="8" priority="10" operator="lessThanOrEqual">
      <formula>$V$30-($V$30*5%)</formula>
    </cfRule>
    <cfRule type="cellIs" dxfId="7" priority="11" operator="greaterThanOrEqual">
      <formula>$V$31+($V$31*10%)</formula>
    </cfRule>
    <cfRule type="cellIs" dxfId="6" priority="12" operator="lessThanOrEqual">
      <formula>$V$30-($V$30*10%)</formula>
    </cfRule>
  </conditionalFormatting>
  <conditionalFormatting sqref="W27">
    <cfRule type="cellIs" dxfId="5" priority="1" operator="greaterThanOrEqual">
      <formula>$W$31</formula>
    </cfRule>
    <cfRule type="cellIs" dxfId="4" priority="2" operator="lessThanOrEqual">
      <formula>$W$30</formula>
    </cfRule>
    <cfRule type="cellIs" dxfId="3" priority="3" operator="greaterThanOrEqual">
      <formula>$W$31+($W$31*5%)</formula>
    </cfRule>
    <cfRule type="cellIs" dxfId="2" priority="4" operator="lessThanOrEqual">
      <formula>$W$30-($W$30*5%)</formula>
    </cfRule>
    <cfRule type="cellIs" dxfId="1" priority="5" operator="greaterThanOrEqual">
      <formula>$W$31+($W$31*10%)</formula>
    </cfRule>
    <cfRule type="cellIs" dxfId="0" priority="6" operator="lessThanOrEqual">
      <formula>$W$30-($W$30*10%)</formula>
    </cfRule>
  </conditionalFormatting>
  <dataValidations count="5">
    <dataValidation type="list" allowBlank="1" showInputMessage="1" showErrorMessage="1" sqref="L3:R3" xr:uid="{00000000-0002-0000-0100-000000000000}">
      <formula1>OFFSET(p_scenarios,0,0,COUNTA(l_scenarios),-1)</formula1>
    </dataValidation>
    <dataValidation type="list" allowBlank="1" showInputMessage="1" showErrorMessage="1" sqref="L4:R4" xr:uid="{00000000-0002-0000-0100-000001000000}">
      <formula1>OFFSET(p_formula,0,0,COUNTA(l_formula),-1)</formula1>
    </dataValidation>
    <dataValidation type="whole" allowBlank="1" showInputMessage="1" showErrorMessage="1" error="This cell cannot be modified" sqref="G13:W25 C26:AD31 Y13:AD13 AD14:AD25 Z14:AA25 D3:D11 F11:G11 I5:I8 J3:K8 L5:R8 I3 I9:R12" xr:uid="{00000000-0002-0000-0100-000002000000}">
      <formula1>999999</formula1>
      <formula2>1000000</formula2>
    </dataValidation>
    <dataValidation type="whole" showInputMessage="1" showErrorMessage="1" error="This cell cannot be modified" sqref="D13:F13 E14:E25 C14:C25" xr:uid="{00000000-0002-0000-0100-000003000000}">
      <formula1>999999</formula1>
      <formula2>1000000</formula2>
    </dataValidation>
    <dataValidation allowBlank="1" showInputMessage="1" showErrorMessage="1" error="This cell cannot be modified" sqref="I4" xr:uid="{00000000-0002-0000-0100-000004000000}"/>
  </dataValidations>
  <pageMargins left="0.7" right="0.7" top="0.75" bottom="0.75" header="0.3" footer="0.3"/>
  <pageSetup paperSize="9" scale="31" orientation="landscape" r:id="rId1"/>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Information non enregistrée dans la base de données" xr:uid="{00000000-0002-0000-0100-000005000000}">
          <x14:formula1>
            <xm:f>Database_Feedstuffs!$A$3:$A$79</xm:f>
          </x14:formula1>
          <xm:sqref>D14:D25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AM195"/>
  <sheetViews>
    <sheetView zoomScale="55" zoomScaleNormal="55" workbookViewId="0">
      <pane xSplit="1" ySplit="2" topLeftCell="C6" activePane="bottomRight" state="frozen"/>
      <selection pane="topRight" activeCell="D1" sqref="D1"/>
      <selection pane="bottomLeft" activeCell="A3" sqref="A3"/>
      <selection pane="bottomRight" activeCell="G11" sqref="G11"/>
    </sheetView>
  </sheetViews>
  <sheetFormatPr baseColWidth="10" defaultColWidth="9.140625" defaultRowHeight="12.75" x14ac:dyDescent="0.2"/>
  <cols>
    <col min="1" max="1" width="44.85546875" style="60" customWidth="1"/>
    <col min="2" max="2" width="23" style="77" hidden="1" customWidth="1"/>
    <col min="3" max="3" width="36.42578125" style="60" bestFit="1" customWidth="1"/>
    <col min="4" max="12" width="10.7109375" style="78" customWidth="1"/>
    <col min="13" max="13" width="11" style="78" customWidth="1"/>
    <col min="14" max="21" width="10.7109375" style="78" customWidth="1"/>
    <col min="22" max="22" width="10.7109375" style="198" customWidth="1"/>
    <col min="23" max="24" width="10.7109375" style="78" customWidth="1"/>
    <col min="25" max="25" width="9.7109375" style="78" customWidth="1"/>
    <col min="26" max="27" width="11.42578125" style="78" customWidth="1"/>
    <col min="28" max="38" width="10.7109375" style="78" customWidth="1"/>
    <col min="39" max="39" width="26.85546875" style="54" customWidth="1"/>
    <col min="40" max="16384" width="9.140625" style="55"/>
  </cols>
  <sheetData>
    <row r="1" spans="1:39" ht="57.75" customHeight="1" x14ac:dyDescent="0.2">
      <c r="A1" s="52"/>
      <c r="B1" s="53"/>
      <c r="C1" s="52"/>
      <c r="D1" s="219" t="s">
        <v>84</v>
      </c>
      <c r="E1" s="219"/>
      <c r="F1" s="219"/>
      <c r="G1" s="219"/>
      <c r="H1" s="219"/>
      <c r="I1" s="218" t="s">
        <v>85</v>
      </c>
      <c r="J1" s="218"/>
      <c r="K1" s="218"/>
      <c r="L1" s="218"/>
      <c r="M1" s="218"/>
      <c r="N1" s="218"/>
      <c r="O1" s="218" t="s">
        <v>86</v>
      </c>
      <c r="P1" s="218"/>
      <c r="Q1" s="218"/>
      <c r="R1" s="218"/>
      <c r="S1" s="218"/>
      <c r="T1" s="218" t="s">
        <v>87</v>
      </c>
      <c r="U1" s="218"/>
      <c r="V1" s="218"/>
      <c r="W1" s="218"/>
      <c r="X1" s="218"/>
      <c r="Y1" s="218"/>
      <c r="Z1" s="218" t="s">
        <v>88</v>
      </c>
      <c r="AA1" s="218"/>
      <c r="AB1" s="218" t="s">
        <v>89</v>
      </c>
      <c r="AC1" s="218"/>
      <c r="AD1" s="218"/>
      <c r="AE1" s="79"/>
      <c r="AF1" s="79"/>
      <c r="AG1" s="218" t="s">
        <v>90</v>
      </c>
      <c r="AH1" s="218"/>
      <c r="AI1" s="218"/>
      <c r="AJ1" s="218"/>
      <c r="AK1" s="218"/>
      <c r="AL1" s="218"/>
    </row>
    <row r="2" spans="1:39" s="60" customFormat="1" ht="55.5" customHeight="1" x14ac:dyDescent="0.2">
      <c r="A2" s="56" t="s">
        <v>16</v>
      </c>
      <c r="B2" s="57" t="s">
        <v>91</v>
      </c>
      <c r="C2" s="56" t="s">
        <v>92</v>
      </c>
      <c r="D2" s="58" t="s">
        <v>310</v>
      </c>
      <c r="E2" s="58" t="s">
        <v>20</v>
      </c>
      <c r="F2" s="58" t="s">
        <v>22</v>
      </c>
      <c r="G2" s="58" t="s">
        <v>21</v>
      </c>
      <c r="H2" s="58" t="s">
        <v>311</v>
      </c>
      <c r="I2" s="58" t="s">
        <v>312</v>
      </c>
      <c r="J2" s="58" t="s">
        <v>26</v>
      </c>
      <c r="K2" s="58" t="s">
        <v>24</v>
      </c>
      <c r="L2" s="58" t="s">
        <v>313</v>
      </c>
      <c r="M2" s="58" t="s">
        <v>314</v>
      </c>
      <c r="N2" s="58" t="s">
        <v>27</v>
      </c>
      <c r="O2" s="58" t="s">
        <v>93</v>
      </c>
      <c r="P2" s="58" t="s">
        <v>94</v>
      </c>
      <c r="Q2" s="58" t="s">
        <v>95</v>
      </c>
      <c r="R2" s="58" t="s">
        <v>96</v>
      </c>
      <c r="S2" s="58" t="s">
        <v>97</v>
      </c>
      <c r="T2" s="58" t="s">
        <v>315</v>
      </c>
      <c r="U2" s="58" t="s">
        <v>316</v>
      </c>
      <c r="V2" s="58" t="s">
        <v>317</v>
      </c>
      <c r="W2" s="58" t="s">
        <v>318</v>
      </c>
      <c r="X2" s="58" t="s">
        <v>47</v>
      </c>
      <c r="Y2" s="58" t="s">
        <v>319</v>
      </c>
      <c r="Z2" s="58" t="s">
        <v>320</v>
      </c>
      <c r="AA2" s="58" t="s">
        <v>321</v>
      </c>
      <c r="AB2" s="58" t="s">
        <v>98</v>
      </c>
      <c r="AC2" s="58" t="s">
        <v>99</v>
      </c>
      <c r="AD2" s="58" t="s">
        <v>100</v>
      </c>
      <c r="AE2" s="58" t="s">
        <v>359</v>
      </c>
      <c r="AF2" s="58" t="s">
        <v>360</v>
      </c>
      <c r="AG2" s="58" t="s">
        <v>28</v>
      </c>
      <c r="AH2" s="58" t="s">
        <v>309</v>
      </c>
      <c r="AI2" s="58" t="s">
        <v>29</v>
      </c>
      <c r="AJ2" s="58" t="s">
        <v>322</v>
      </c>
      <c r="AK2" s="58" t="s">
        <v>30</v>
      </c>
      <c r="AL2" s="58" t="s">
        <v>323</v>
      </c>
      <c r="AM2" s="59" t="s">
        <v>101</v>
      </c>
    </row>
    <row r="3" spans="1:39" ht="15" customHeight="1" x14ac:dyDescent="0.2">
      <c r="A3" s="200" t="s">
        <v>102</v>
      </c>
      <c r="B3" s="201"/>
      <c r="C3" s="202" t="s">
        <v>103</v>
      </c>
      <c r="D3" s="64">
        <v>92</v>
      </c>
      <c r="E3" s="64">
        <v>49.200000762939453</v>
      </c>
      <c r="F3" s="64">
        <v>2.9000000953674316</v>
      </c>
      <c r="G3" s="64">
        <v>8.1999998092651367</v>
      </c>
      <c r="H3" s="64">
        <v>10.100000381469727</v>
      </c>
      <c r="I3" s="64">
        <v>2.9399999618530273</v>
      </c>
      <c r="J3" s="64">
        <v>2.3399999618530272</v>
      </c>
      <c r="K3" s="64">
        <v>1</v>
      </c>
      <c r="L3" s="64">
        <v>0.46999998092651368</v>
      </c>
      <c r="M3" s="64">
        <v>1.4699999809265136</v>
      </c>
      <c r="N3" s="64">
        <v>0.75</v>
      </c>
      <c r="O3" s="64">
        <v>16.600000381469727</v>
      </c>
      <c r="P3" s="64">
        <v>2.7999999523162842</v>
      </c>
      <c r="Q3" s="64">
        <v>7.5999999046325684</v>
      </c>
      <c r="R3" s="64">
        <v>29.299999237060547</v>
      </c>
      <c r="S3" s="64">
        <v>35.799999237060547</v>
      </c>
      <c r="T3" s="64">
        <v>33.700000762939453</v>
      </c>
      <c r="U3" s="64">
        <v>8.3999996185302734</v>
      </c>
      <c r="V3" s="72">
        <v>0.40000000596046448</v>
      </c>
      <c r="W3" s="64">
        <v>1.3999999761581421</v>
      </c>
      <c r="X3" s="64">
        <v>7</v>
      </c>
      <c r="Y3" s="64">
        <v>7.0000000000000007E-2</v>
      </c>
      <c r="Z3" s="64">
        <v>10.96234309623431</v>
      </c>
      <c r="AA3" s="64">
        <v>10.96234309623431</v>
      </c>
      <c r="AB3" s="65">
        <v>5</v>
      </c>
      <c r="AC3" s="65">
        <v>5</v>
      </c>
      <c r="AD3" s="65">
        <v>5</v>
      </c>
      <c r="AE3" s="64"/>
      <c r="AF3" s="64">
        <v>6.8000001907348633</v>
      </c>
      <c r="AG3" s="64">
        <v>2.6299999237060545</v>
      </c>
      <c r="AH3" s="64">
        <v>1.9100000381469726</v>
      </c>
      <c r="AI3" s="64">
        <v>0.86000003814697268</v>
      </c>
      <c r="AJ3" s="64">
        <v>0.2700000047683716</v>
      </c>
      <c r="AK3" s="64">
        <v>1.1300000190734862</v>
      </c>
      <c r="AL3" s="64">
        <v>0.63000001907348635</v>
      </c>
      <c r="AM3" s="66" t="s">
        <v>326</v>
      </c>
    </row>
    <row r="4" spans="1:39" ht="15" customHeight="1" x14ac:dyDescent="0.2">
      <c r="A4" s="200" t="s">
        <v>104</v>
      </c>
      <c r="B4" s="201"/>
      <c r="C4" s="202" t="s">
        <v>105</v>
      </c>
      <c r="D4" s="64">
        <v>92.599998474121094</v>
      </c>
      <c r="E4" s="64">
        <v>13.600000381469727</v>
      </c>
      <c r="F4" s="64">
        <v>28.899999618530273</v>
      </c>
      <c r="G4" s="64">
        <v>2.2000000476837158</v>
      </c>
      <c r="H4" s="64">
        <v>9.5</v>
      </c>
      <c r="I4" s="64">
        <v>0.51999998092651367</v>
      </c>
      <c r="J4" s="64">
        <v>0.45999999046325685</v>
      </c>
      <c r="K4" s="64">
        <v>0.11000000238418579</v>
      </c>
      <c r="L4" s="64">
        <v>0.18999999761581421</v>
      </c>
      <c r="M4" s="64">
        <v>0.3</v>
      </c>
      <c r="N4" s="64">
        <v>0.18999999761581421</v>
      </c>
      <c r="O4" s="64">
        <v>16.600000381469727</v>
      </c>
      <c r="P4" s="64">
        <v>2.7999999523162842</v>
      </c>
      <c r="Q4" s="64">
        <v>7.5999999046325684</v>
      </c>
      <c r="R4" s="64">
        <v>29.299999237060547</v>
      </c>
      <c r="S4" s="64">
        <v>35.799999237060547</v>
      </c>
      <c r="T4" s="64">
        <v>17.700000762939453</v>
      </c>
      <c r="U4" s="64">
        <v>2.4000000953674316</v>
      </c>
      <c r="V4" s="72">
        <v>0.10000000149011612</v>
      </c>
      <c r="W4" s="64">
        <v>1.8999999761581421</v>
      </c>
      <c r="X4" s="64">
        <v>23</v>
      </c>
      <c r="Y4" s="64">
        <v>0.56000000238418579</v>
      </c>
      <c r="Z4" s="64">
        <v>4.7698744769874475</v>
      </c>
      <c r="AA4" s="64">
        <v>4.6861924686192467</v>
      </c>
      <c r="AB4" s="67">
        <v>5</v>
      </c>
      <c r="AC4" s="67">
        <v>5</v>
      </c>
      <c r="AD4" s="67">
        <v>5</v>
      </c>
      <c r="AE4" s="64"/>
      <c r="AF4" s="64"/>
      <c r="AG4" s="64">
        <v>0.24000000953674316</v>
      </c>
      <c r="AH4" s="64">
        <v>0.20999999046325685</v>
      </c>
      <c r="AI4" s="64">
        <v>0.05</v>
      </c>
      <c r="AJ4" s="64">
        <v>8.0000001192092898E-2</v>
      </c>
      <c r="AK4" s="64">
        <v>0.12999999523162842</v>
      </c>
      <c r="AL4" s="64">
        <v>8.0000001192092898E-2</v>
      </c>
      <c r="AM4" s="66" t="s">
        <v>326</v>
      </c>
    </row>
    <row r="5" spans="1:39" ht="15" customHeight="1" x14ac:dyDescent="0.2">
      <c r="A5" s="200" t="s">
        <v>106</v>
      </c>
      <c r="B5" s="201"/>
      <c r="C5" s="202" t="s">
        <v>105</v>
      </c>
      <c r="D5" s="64">
        <v>91.900001525878906</v>
      </c>
      <c r="E5" s="64">
        <v>15.600000381469727</v>
      </c>
      <c r="F5" s="64">
        <v>26.5</v>
      </c>
      <c r="G5" s="64">
        <v>2.2000000476837158</v>
      </c>
      <c r="H5" s="64">
        <v>9.8000001907348633</v>
      </c>
      <c r="I5" s="64">
        <v>0.65999999046325686</v>
      </c>
      <c r="J5" s="64">
        <v>0.56999998092651372</v>
      </c>
      <c r="K5" s="64">
        <v>0.1600000023841858</v>
      </c>
      <c r="L5" s="64">
        <v>0.2</v>
      </c>
      <c r="M5" s="64">
        <v>0.35999999046325681</v>
      </c>
      <c r="N5" s="64">
        <v>0.22000000476837159</v>
      </c>
      <c r="O5" s="64">
        <v>16.600000381469727</v>
      </c>
      <c r="P5" s="64">
        <v>2.7999999523162842</v>
      </c>
      <c r="Q5" s="64">
        <v>7.5999999046325684</v>
      </c>
      <c r="R5" s="64">
        <v>29.299999237060547</v>
      </c>
      <c r="S5" s="64">
        <v>35.799999237060547</v>
      </c>
      <c r="T5" s="64">
        <v>20.5</v>
      </c>
      <c r="U5" s="64">
        <v>2.2999999523162842</v>
      </c>
      <c r="V5" s="72">
        <v>0.10000000149011612</v>
      </c>
      <c r="W5" s="64">
        <v>1.7999999523162842</v>
      </c>
      <c r="X5" s="64">
        <v>23.799999237060547</v>
      </c>
      <c r="Y5" s="64">
        <v>0.33000001311302185</v>
      </c>
      <c r="Z5" s="64">
        <v>4.8535564853556483</v>
      </c>
      <c r="AA5" s="64">
        <v>4.7698744769874475</v>
      </c>
      <c r="AB5" s="67">
        <v>5</v>
      </c>
      <c r="AC5" s="67">
        <v>5</v>
      </c>
      <c r="AD5" s="67">
        <v>5</v>
      </c>
      <c r="AE5" s="64"/>
      <c r="AF5" s="64"/>
      <c r="AG5" s="64">
        <v>0.37000000476837158</v>
      </c>
      <c r="AH5" s="64">
        <v>0.30999999046325682</v>
      </c>
      <c r="AI5" s="64">
        <v>8.9999997615814203E-2</v>
      </c>
      <c r="AJ5" s="64">
        <v>0.1</v>
      </c>
      <c r="AK5" s="64">
        <v>0.18999999761581421</v>
      </c>
      <c r="AL5" s="64">
        <v>0.11000000238418579</v>
      </c>
      <c r="AM5" s="66" t="s">
        <v>326</v>
      </c>
    </row>
    <row r="6" spans="1:39" ht="15" customHeight="1" x14ac:dyDescent="0.2">
      <c r="A6" s="200" t="s">
        <v>107</v>
      </c>
      <c r="B6" s="201"/>
      <c r="C6" s="202" t="s">
        <v>105</v>
      </c>
      <c r="D6" s="64">
        <v>92.099998474121094</v>
      </c>
      <c r="E6" s="64">
        <v>16.399999618530273</v>
      </c>
      <c r="F6" s="64">
        <v>25.399999618530273</v>
      </c>
      <c r="G6" s="64">
        <v>2.2999999523162842</v>
      </c>
      <c r="H6" s="64">
        <v>10</v>
      </c>
      <c r="I6" s="64">
        <v>0.71999998092651363</v>
      </c>
      <c r="J6" s="64">
        <v>0.60999999046325681</v>
      </c>
      <c r="K6" s="64">
        <v>0.17999999523162841</v>
      </c>
      <c r="L6" s="64">
        <v>0.20999999046325685</v>
      </c>
      <c r="M6" s="64">
        <v>0.39000000953674319</v>
      </c>
      <c r="N6" s="64">
        <v>0.22999999523162842</v>
      </c>
      <c r="O6" s="64">
        <v>16.600000381469727</v>
      </c>
      <c r="P6" s="64">
        <v>2.7999999523162842</v>
      </c>
      <c r="Q6" s="64">
        <v>7.5999999046325684</v>
      </c>
      <c r="R6" s="64">
        <v>29.299999237060547</v>
      </c>
      <c r="S6" s="64">
        <v>35.799999237060547</v>
      </c>
      <c r="T6" s="64">
        <v>18.799999237060547</v>
      </c>
      <c r="U6" s="64">
        <v>2.4000000953674316</v>
      </c>
      <c r="V6" s="72">
        <v>0.10000000149011612</v>
      </c>
      <c r="W6" s="64">
        <v>1.8999999761581421</v>
      </c>
      <c r="X6" s="64">
        <v>22.200000762939453</v>
      </c>
      <c r="Y6" s="64">
        <v>0.38999998569488525</v>
      </c>
      <c r="Z6" s="64">
        <v>4.9372384937238492</v>
      </c>
      <c r="AA6" s="64">
        <v>4.8535564853556483</v>
      </c>
      <c r="AB6" s="67">
        <v>5</v>
      </c>
      <c r="AC6" s="67">
        <v>5</v>
      </c>
      <c r="AD6" s="67">
        <v>5</v>
      </c>
      <c r="AE6" s="64"/>
      <c r="AF6" s="64"/>
      <c r="AG6" s="64">
        <v>0.41999998092651369</v>
      </c>
      <c r="AH6" s="64">
        <v>0.35</v>
      </c>
      <c r="AI6" s="64">
        <v>0.11000000238418579</v>
      </c>
      <c r="AJ6" s="64">
        <v>0.11000000238418579</v>
      </c>
      <c r="AK6" s="64">
        <v>0.22000000476837159</v>
      </c>
      <c r="AL6" s="64">
        <v>0.12999999523162842</v>
      </c>
      <c r="AM6" s="66" t="s">
        <v>326</v>
      </c>
    </row>
    <row r="7" spans="1:39" ht="15" customHeight="1" x14ac:dyDescent="0.2">
      <c r="A7" s="200" t="s">
        <v>108</v>
      </c>
      <c r="B7" s="201"/>
      <c r="C7" s="202" t="s">
        <v>105</v>
      </c>
      <c r="D7" s="64">
        <v>92</v>
      </c>
      <c r="E7" s="64">
        <v>18.600000381469727</v>
      </c>
      <c r="F7" s="64">
        <v>23.600000381469727</v>
      </c>
      <c r="G7" s="64">
        <v>2.7999999523162842</v>
      </c>
      <c r="H7" s="64">
        <v>10.600000381469727</v>
      </c>
      <c r="I7" s="64">
        <v>0.86000003814697268</v>
      </c>
      <c r="J7" s="64">
        <v>0.71999998092651363</v>
      </c>
      <c r="K7" s="64">
        <v>0.22999999523162842</v>
      </c>
      <c r="L7" s="64">
        <v>0.22999999523162842</v>
      </c>
      <c r="M7" s="64">
        <v>0.45999999046325685</v>
      </c>
      <c r="N7" s="64">
        <v>0.25999999046325684</v>
      </c>
      <c r="O7" s="64">
        <v>16.600000381469727</v>
      </c>
      <c r="P7" s="64">
        <v>2.7999999523162842</v>
      </c>
      <c r="Q7" s="64">
        <v>7.5999999046325684</v>
      </c>
      <c r="R7" s="64">
        <v>29.299999237060547</v>
      </c>
      <c r="S7" s="64">
        <v>35.799999237060547</v>
      </c>
      <c r="T7" s="64">
        <v>20</v>
      </c>
      <c r="U7" s="64">
        <v>2.4000000953674316</v>
      </c>
      <c r="V7" s="72">
        <v>0.10000000149011612</v>
      </c>
      <c r="W7" s="64">
        <v>1.8999999761581421</v>
      </c>
      <c r="X7" s="64">
        <v>23</v>
      </c>
      <c r="Y7" s="64">
        <v>0.40000000596046448</v>
      </c>
      <c r="Z7" s="64">
        <v>5.0627615062761508</v>
      </c>
      <c r="AA7" s="64">
        <v>4.9372384937238492</v>
      </c>
      <c r="AB7" s="67">
        <v>5</v>
      </c>
      <c r="AC7" s="67">
        <v>5</v>
      </c>
      <c r="AD7" s="67">
        <v>5</v>
      </c>
      <c r="AE7" s="64"/>
      <c r="AF7" s="64"/>
      <c r="AG7" s="64">
        <v>0.58000001907348631</v>
      </c>
      <c r="AH7" s="64">
        <v>0.46999998092651368</v>
      </c>
      <c r="AI7" s="64">
        <v>0.1600000023841858</v>
      </c>
      <c r="AJ7" s="64">
        <v>0.13999999761581422</v>
      </c>
      <c r="AK7" s="64">
        <v>0.3</v>
      </c>
      <c r="AL7" s="64">
        <v>0.17000000476837157</v>
      </c>
      <c r="AM7" s="66" t="s">
        <v>326</v>
      </c>
    </row>
    <row r="8" spans="1:39" ht="15" customHeight="1" x14ac:dyDescent="0.2">
      <c r="A8" s="200" t="s">
        <v>59</v>
      </c>
      <c r="B8" s="201" t="s">
        <v>110</v>
      </c>
      <c r="C8" s="203" t="s">
        <v>111</v>
      </c>
      <c r="D8" s="64">
        <v>87.9</v>
      </c>
      <c r="E8" s="64">
        <v>10.3</v>
      </c>
      <c r="F8" s="64">
        <v>4.7</v>
      </c>
      <c r="G8" s="64">
        <v>1.8</v>
      </c>
      <c r="H8" s="64">
        <v>2.2000000000000002</v>
      </c>
      <c r="I8" s="64">
        <v>0.4</v>
      </c>
      <c r="J8" s="64">
        <v>0.37</v>
      </c>
      <c r="K8" s="64">
        <v>0.18</v>
      </c>
      <c r="L8" s="64">
        <v>0.24</v>
      </c>
      <c r="M8" s="64">
        <v>0.42000000000000004</v>
      </c>
      <c r="N8" s="64">
        <v>0.13</v>
      </c>
      <c r="O8" s="64">
        <v>21.2</v>
      </c>
      <c r="P8" s="64">
        <v>1.1000000000000001</v>
      </c>
      <c r="Q8" s="64">
        <v>13.4</v>
      </c>
      <c r="R8" s="64">
        <v>55.9</v>
      </c>
      <c r="S8" s="64">
        <v>8.6999999999999993</v>
      </c>
      <c r="T8" s="64">
        <v>0.7</v>
      </c>
      <c r="U8" s="64">
        <v>3.4</v>
      </c>
      <c r="V8" s="72">
        <v>1.8</v>
      </c>
      <c r="W8" s="64">
        <v>1.1000000000000001</v>
      </c>
      <c r="X8" s="64">
        <v>4.9000000000000004</v>
      </c>
      <c r="Y8" s="64">
        <v>0.03</v>
      </c>
      <c r="Z8" s="64">
        <v>11.548117154811701</v>
      </c>
      <c r="AA8" s="64">
        <v>10.962343096234299</v>
      </c>
      <c r="AB8" s="64">
        <v>10</v>
      </c>
      <c r="AC8" s="64">
        <v>10</v>
      </c>
      <c r="AD8" s="64">
        <v>10</v>
      </c>
      <c r="AE8" s="64"/>
      <c r="AF8" s="64"/>
      <c r="AG8" s="64">
        <v>0.3</v>
      </c>
      <c r="AH8" s="64">
        <v>0.26</v>
      </c>
      <c r="AI8" s="64">
        <v>0.15</v>
      </c>
      <c r="AJ8" s="64">
        <v>0.16999999999999998</v>
      </c>
      <c r="AK8" s="64">
        <v>0.32</v>
      </c>
      <c r="AL8" s="64">
        <v>0.1</v>
      </c>
      <c r="AM8" s="66" t="s">
        <v>326</v>
      </c>
    </row>
    <row r="9" spans="1:39" ht="15" customHeight="1" x14ac:dyDescent="0.2">
      <c r="A9" s="200" t="s">
        <v>112</v>
      </c>
      <c r="B9" s="201" t="s">
        <v>113</v>
      </c>
      <c r="C9" s="203" t="s">
        <v>111</v>
      </c>
      <c r="D9" s="64">
        <v>87.9</v>
      </c>
      <c r="E9" s="64">
        <v>8.3000000000000007</v>
      </c>
      <c r="F9" s="64">
        <v>4.7</v>
      </c>
      <c r="G9" s="64">
        <v>1.8</v>
      </c>
      <c r="H9" s="64">
        <v>2.2000000000000002</v>
      </c>
      <c r="I9" s="64">
        <v>0.32</v>
      </c>
      <c r="J9" s="64">
        <v>0.28999999999999998</v>
      </c>
      <c r="K9" s="64">
        <v>0.13999999999999999</v>
      </c>
      <c r="L9" s="64">
        <v>0.2</v>
      </c>
      <c r="M9" s="64">
        <v>0.33999999999999997</v>
      </c>
      <c r="N9" s="64">
        <v>0.11000000000000001</v>
      </c>
      <c r="O9" s="64">
        <v>21.2</v>
      </c>
      <c r="P9" s="64">
        <v>1.1000000000000001</v>
      </c>
      <c r="Q9" s="64">
        <v>13.4</v>
      </c>
      <c r="R9" s="64">
        <v>55.9</v>
      </c>
      <c r="S9" s="64">
        <v>8.6999999999999993</v>
      </c>
      <c r="T9" s="64">
        <v>0.7</v>
      </c>
      <c r="U9" s="64">
        <v>3.4</v>
      </c>
      <c r="V9" s="72">
        <v>1.8</v>
      </c>
      <c r="W9" s="64">
        <v>1.1000000000000001</v>
      </c>
      <c r="X9" s="64">
        <v>4.9000000000000004</v>
      </c>
      <c r="Y9" s="64">
        <v>0.03</v>
      </c>
      <c r="Z9" s="64">
        <v>11.548117154811701</v>
      </c>
      <c r="AA9" s="64">
        <v>10.962343096234299</v>
      </c>
      <c r="AB9" s="64">
        <v>10</v>
      </c>
      <c r="AC9" s="64">
        <v>10</v>
      </c>
      <c r="AD9" s="64">
        <v>10</v>
      </c>
      <c r="AE9" s="64"/>
      <c r="AF9" s="64"/>
      <c r="AG9" s="64">
        <v>0.3</v>
      </c>
      <c r="AH9" s="64">
        <v>0.26</v>
      </c>
      <c r="AI9" s="64">
        <v>0.15</v>
      </c>
      <c r="AJ9" s="64">
        <v>0.16999999999999998</v>
      </c>
      <c r="AK9" s="64">
        <v>0.32</v>
      </c>
      <c r="AL9" s="64">
        <v>0.1</v>
      </c>
      <c r="AM9" s="66" t="s">
        <v>326</v>
      </c>
    </row>
    <row r="10" spans="1:39" ht="15" customHeight="1" x14ac:dyDescent="0.2">
      <c r="A10" s="200" t="s">
        <v>114</v>
      </c>
      <c r="B10" s="201" t="s">
        <v>115</v>
      </c>
      <c r="C10" s="203" t="s">
        <v>111</v>
      </c>
      <c r="D10" s="64">
        <v>87.9</v>
      </c>
      <c r="E10" s="64">
        <v>9.3000000000000007</v>
      </c>
      <c r="F10" s="64">
        <v>4.7</v>
      </c>
      <c r="G10" s="64">
        <v>1.8</v>
      </c>
      <c r="H10" s="64">
        <v>2.2000000000000002</v>
      </c>
      <c r="I10" s="64">
        <v>0.36</v>
      </c>
      <c r="J10" s="64">
        <v>0.32999999999999996</v>
      </c>
      <c r="K10" s="64">
        <v>0.16</v>
      </c>
      <c r="L10" s="64">
        <v>0.22000000000000003</v>
      </c>
      <c r="M10" s="64">
        <v>0.38</v>
      </c>
      <c r="N10" s="64">
        <v>0.12</v>
      </c>
      <c r="O10" s="64">
        <v>21.2</v>
      </c>
      <c r="P10" s="64">
        <v>1.1000000000000001</v>
      </c>
      <c r="Q10" s="64">
        <v>13.4</v>
      </c>
      <c r="R10" s="64">
        <v>55.9</v>
      </c>
      <c r="S10" s="64">
        <v>8.6999999999999993</v>
      </c>
      <c r="T10" s="64">
        <v>0.7</v>
      </c>
      <c r="U10" s="64">
        <v>3.4</v>
      </c>
      <c r="V10" s="72">
        <v>1.8</v>
      </c>
      <c r="W10" s="64">
        <v>1.1000000000000001</v>
      </c>
      <c r="X10" s="64">
        <v>4.9000000000000004</v>
      </c>
      <c r="Y10" s="64">
        <v>0.03</v>
      </c>
      <c r="Z10" s="64">
        <v>11.548117154811701</v>
      </c>
      <c r="AA10" s="64">
        <v>10.962343096234299</v>
      </c>
      <c r="AB10" s="67">
        <v>10</v>
      </c>
      <c r="AC10" s="67">
        <v>10</v>
      </c>
      <c r="AD10" s="67">
        <v>10</v>
      </c>
      <c r="AE10" s="64"/>
      <c r="AF10" s="64" t="s">
        <v>116</v>
      </c>
      <c r="AG10" s="64">
        <v>0.3</v>
      </c>
      <c r="AH10" s="64">
        <v>0.26</v>
      </c>
      <c r="AI10" s="64">
        <v>0.15</v>
      </c>
      <c r="AJ10" s="64">
        <v>0.16999999999999998</v>
      </c>
      <c r="AK10" s="64">
        <v>0.32</v>
      </c>
      <c r="AL10" s="64">
        <v>0.1</v>
      </c>
      <c r="AM10" s="66" t="s">
        <v>326</v>
      </c>
    </row>
    <row r="11" spans="1:39" ht="15" customHeight="1" x14ac:dyDescent="0.2">
      <c r="A11" s="200" t="s">
        <v>117</v>
      </c>
      <c r="B11" s="201"/>
      <c r="C11" s="202" t="s">
        <v>118</v>
      </c>
      <c r="D11" s="64">
        <v>97</v>
      </c>
      <c r="E11" s="64">
        <v>0</v>
      </c>
      <c r="F11" s="64">
        <v>0</v>
      </c>
      <c r="G11" s="64">
        <v>0</v>
      </c>
      <c r="H11" s="64">
        <v>88.5</v>
      </c>
      <c r="I11" s="64">
        <v>0</v>
      </c>
      <c r="J11" s="64">
        <v>0</v>
      </c>
      <c r="K11" s="64">
        <v>0</v>
      </c>
      <c r="L11" s="64">
        <v>0</v>
      </c>
      <c r="M11" s="64">
        <v>0</v>
      </c>
      <c r="N11" s="64">
        <v>0</v>
      </c>
      <c r="O11" s="64">
        <v>0</v>
      </c>
      <c r="P11" s="64">
        <v>0</v>
      </c>
      <c r="Q11" s="64">
        <v>0</v>
      </c>
      <c r="R11" s="64">
        <v>0</v>
      </c>
      <c r="S11" s="64">
        <v>0</v>
      </c>
      <c r="T11" s="64">
        <v>272</v>
      </c>
      <c r="U11" s="64">
        <v>204</v>
      </c>
      <c r="V11" s="72">
        <v>0</v>
      </c>
      <c r="W11" s="64">
        <v>59</v>
      </c>
      <c r="X11" s="64">
        <v>22</v>
      </c>
      <c r="Y11" s="64">
        <v>25.2</v>
      </c>
      <c r="Z11" s="64">
        <v>0</v>
      </c>
      <c r="AA11" s="64">
        <v>0</v>
      </c>
      <c r="AB11" s="67">
        <v>5</v>
      </c>
      <c r="AC11" s="67">
        <v>5</v>
      </c>
      <c r="AD11" s="67">
        <v>5</v>
      </c>
      <c r="AE11" s="64"/>
      <c r="AF11" s="64"/>
      <c r="AG11" s="64"/>
      <c r="AH11" s="64"/>
      <c r="AI11" s="64"/>
      <c r="AJ11" s="64"/>
      <c r="AK11" s="64"/>
      <c r="AL11" s="64"/>
      <c r="AM11" s="66" t="s">
        <v>119</v>
      </c>
    </row>
    <row r="12" spans="1:39" ht="15" customHeight="1" x14ac:dyDescent="0.2">
      <c r="A12" s="200" t="s">
        <v>120</v>
      </c>
      <c r="B12" s="201"/>
      <c r="C12" s="202" t="s">
        <v>121</v>
      </c>
      <c r="D12" s="64">
        <v>90.3</v>
      </c>
      <c r="E12" s="64">
        <v>30.3</v>
      </c>
      <c r="F12" s="64">
        <v>14.2</v>
      </c>
      <c r="G12" s="64">
        <v>5.4</v>
      </c>
      <c r="H12" s="64">
        <v>3.2</v>
      </c>
      <c r="I12" s="64">
        <v>1.53</v>
      </c>
      <c r="J12" s="64">
        <v>1.1800000000000002</v>
      </c>
      <c r="K12" s="64">
        <v>0.26</v>
      </c>
      <c r="L12" s="64">
        <v>0.54</v>
      </c>
      <c r="M12" s="64">
        <v>0.8</v>
      </c>
      <c r="N12" s="64">
        <v>0.22000000000000003</v>
      </c>
      <c r="O12" s="64">
        <v>6.9</v>
      </c>
      <c r="P12" s="64">
        <v>3.6</v>
      </c>
      <c r="Q12" s="64">
        <v>31.9</v>
      </c>
      <c r="R12" s="64">
        <v>46.7</v>
      </c>
      <c r="S12" s="64">
        <v>4.8</v>
      </c>
      <c r="T12" s="64">
        <v>26</v>
      </c>
      <c r="U12" s="64">
        <v>34</v>
      </c>
      <c r="V12" s="72">
        <v>21</v>
      </c>
      <c r="W12" s="64">
        <v>19</v>
      </c>
      <c r="X12" s="64">
        <v>99</v>
      </c>
      <c r="Y12" s="64">
        <v>0.4</v>
      </c>
      <c r="Z12" s="64">
        <v>8.7447698744769866</v>
      </c>
      <c r="AA12" s="64">
        <v>8.6192468619246867</v>
      </c>
      <c r="AB12" s="64">
        <v>10</v>
      </c>
      <c r="AC12" s="64">
        <v>15</v>
      </c>
      <c r="AD12" s="64">
        <v>5</v>
      </c>
      <c r="AE12" s="64"/>
      <c r="AF12" s="64"/>
      <c r="AG12" s="64">
        <v>1.33</v>
      </c>
      <c r="AH12" s="64">
        <v>0.96</v>
      </c>
      <c r="AI12" s="64">
        <v>0.22000000000000003</v>
      </c>
      <c r="AJ12" s="64">
        <v>0.44000000000000006</v>
      </c>
      <c r="AK12" s="64">
        <v>0.65</v>
      </c>
      <c r="AL12" s="64">
        <v>0.18</v>
      </c>
      <c r="AM12" s="66" t="s">
        <v>122</v>
      </c>
    </row>
    <row r="13" spans="1:39" ht="15" customHeight="1" x14ac:dyDescent="0.2">
      <c r="A13" s="200" t="s">
        <v>57</v>
      </c>
      <c r="B13" s="201"/>
      <c r="C13" s="202" t="s">
        <v>118</v>
      </c>
      <c r="D13" s="64">
        <v>99.9</v>
      </c>
      <c r="E13" s="64">
        <v>0</v>
      </c>
      <c r="F13" s="64">
        <v>0</v>
      </c>
      <c r="G13" s="64">
        <v>0</v>
      </c>
      <c r="H13" s="64">
        <v>99.3</v>
      </c>
      <c r="I13" s="64">
        <v>0</v>
      </c>
      <c r="J13" s="64">
        <v>0</v>
      </c>
      <c r="K13" s="64">
        <v>0</v>
      </c>
      <c r="L13" s="64">
        <v>0</v>
      </c>
      <c r="M13" s="64">
        <v>0</v>
      </c>
      <c r="N13" s="64">
        <v>0</v>
      </c>
      <c r="O13" s="64">
        <v>0</v>
      </c>
      <c r="P13" s="64">
        <v>0</v>
      </c>
      <c r="Q13" s="64">
        <v>0</v>
      </c>
      <c r="R13" s="64">
        <v>0</v>
      </c>
      <c r="S13" s="64">
        <v>0</v>
      </c>
      <c r="T13" s="64">
        <v>387</v>
      </c>
      <c r="U13" s="64">
        <v>3</v>
      </c>
      <c r="V13" s="72">
        <v>0</v>
      </c>
      <c r="W13" s="64">
        <v>4</v>
      </c>
      <c r="X13" s="64">
        <v>0</v>
      </c>
      <c r="Y13" s="64">
        <v>6.4</v>
      </c>
      <c r="Z13" s="64">
        <v>0</v>
      </c>
      <c r="AA13" s="64">
        <v>0</v>
      </c>
      <c r="AB13" s="67">
        <v>5</v>
      </c>
      <c r="AC13" s="67">
        <v>5</v>
      </c>
      <c r="AD13" s="67">
        <v>5</v>
      </c>
      <c r="AE13" s="64"/>
      <c r="AF13" s="64"/>
      <c r="AG13" s="64"/>
      <c r="AH13" s="64"/>
      <c r="AI13" s="64"/>
      <c r="AJ13" s="64"/>
      <c r="AK13" s="64"/>
      <c r="AL13" s="64"/>
      <c r="AM13" s="66" t="s">
        <v>119</v>
      </c>
    </row>
    <row r="14" spans="1:39" ht="15" customHeight="1" x14ac:dyDescent="0.2">
      <c r="A14" s="204" t="s">
        <v>124</v>
      </c>
      <c r="B14" s="201"/>
      <c r="C14" s="202" t="s">
        <v>125</v>
      </c>
      <c r="D14" s="64">
        <v>91.1</v>
      </c>
      <c r="E14" s="64">
        <v>33.200000000000003</v>
      </c>
      <c r="F14" s="64">
        <v>11.5</v>
      </c>
      <c r="G14" s="64">
        <v>14.5</v>
      </c>
      <c r="H14" s="64">
        <v>5.5</v>
      </c>
      <c r="I14" s="64">
        <v>1.54</v>
      </c>
      <c r="J14" s="64">
        <v>1.3</v>
      </c>
      <c r="K14" s="64">
        <v>0.64</v>
      </c>
      <c r="L14" s="64">
        <v>0.76</v>
      </c>
      <c r="M14" s="64">
        <v>1.3900000000000001</v>
      </c>
      <c r="N14" s="64">
        <v>0.38</v>
      </c>
      <c r="O14" s="64">
        <v>8.1</v>
      </c>
      <c r="P14" s="64">
        <v>2.5</v>
      </c>
      <c r="Q14" s="64">
        <v>18.3</v>
      </c>
      <c r="R14" s="64">
        <v>24.6</v>
      </c>
      <c r="S14" s="64">
        <v>33.200000000000003</v>
      </c>
      <c r="T14" s="64">
        <v>3.4000000000000004</v>
      </c>
      <c r="U14" s="64">
        <v>8.6</v>
      </c>
      <c r="V14" s="72">
        <v>5.2</v>
      </c>
      <c r="W14" s="64">
        <v>3.5999999999999996</v>
      </c>
      <c r="X14" s="64">
        <v>12</v>
      </c>
      <c r="Y14" s="64">
        <v>0.05</v>
      </c>
      <c r="Z14" s="64">
        <v>11.171548117154812</v>
      </c>
      <c r="AA14" s="64">
        <v>10.418410041841005</v>
      </c>
      <c r="AB14" s="65">
        <v>3</v>
      </c>
      <c r="AC14" s="65">
        <v>5</v>
      </c>
      <c r="AD14" s="65">
        <v>5</v>
      </c>
      <c r="AE14" s="64" t="s">
        <v>116</v>
      </c>
      <c r="AF14" s="64">
        <v>2.2000000000000002</v>
      </c>
      <c r="AG14" s="67">
        <v>1.1800000000000002</v>
      </c>
      <c r="AH14" s="67">
        <v>0.95</v>
      </c>
      <c r="AI14" s="67">
        <v>0.55000000000000004</v>
      </c>
      <c r="AJ14" s="67">
        <v>0.55000000000000004</v>
      </c>
      <c r="AK14" s="67">
        <v>1.1000000000000001</v>
      </c>
      <c r="AL14" s="67">
        <v>0.32</v>
      </c>
      <c r="AM14" s="66" t="s">
        <v>326</v>
      </c>
    </row>
    <row r="15" spans="1:39" ht="15" customHeight="1" x14ac:dyDescent="0.2">
      <c r="A15" s="200" t="s">
        <v>126</v>
      </c>
      <c r="B15" s="201"/>
      <c r="C15" s="202" t="s">
        <v>121</v>
      </c>
      <c r="D15" s="64">
        <v>87.9</v>
      </c>
      <c r="E15" s="64">
        <v>18.600000000000001</v>
      </c>
      <c r="F15" s="64">
        <v>3.4</v>
      </c>
      <c r="G15" s="64">
        <v>5.5</v>
      </c>
      <c r="H15" s="64">
        <v>2.9</v>
      </c>
      <c r="I15" s="64">
        <v>1.26</v>
      </c>
      <c r="J15" s="64">
        <v>0.65999999999999992</v>
      </c>
      <c r="K15" s="64">
        <v>0.22999999999999998</v>
      </c>
      <c r="L15" s="64">
        <v>0.22000000000000003</v>
      </c>
      <c r="M15" s="64">
        <v>0.45</v>
      </c>
      <c r="N15" s="64">
        <v>0.16999999999999998</v>
      </c>
      <c r="O15" s="64">
        <v>25.5</v>
      </c>
      <c r="P15" s="64">
        <v>1.8</v>
      </c>
      <c r="Q15" s="64">
        <v>53.3</v>
      </c>
      <c r="R15" s="64">
        <v>13.1</v>
      </c>
      <c r="S15" s="64">
        <v>5.5</v>
      </c>
      <c r="T15" s="64">
        <v>12</v>
      </c>
      <c r="U15" s="64">
        <v>41</v>
      </c>
      <c r="V15" s="72">
        <v>20</v>
      </c>
      <c r="W15" s="64">
        <v>13</v>
      </c>
      <c r="X15" s="64">
        <v>96</v>
      </c>
      <c r="Y15" s="64">
        <v>3.4000000000000004</v>
      </c>
      <c r="Z15" s="64">
        <v>12.92887029288703</v>
      </c>
      <c r="AA15" s="64">
        <v>12.677824267782427</v>
      </c>
      <c r="AB15" s="64">
        <v>15</v>
      </c>
      <c r="AC15" s="64">
        <v>25</v>
      </c>
      <c r="AD15" s="64">
        <v>20</v>
      </c>
      <c r="AE15" s="64"/>
      <c r="AF15" s="64"/>
      <c r="AG15" s="64">
        <v>0.97</v>
      </c>
      <c r="AH15" s="64">
        <v>0.48</v>
      </c>
      <c r="AI15" s="64">
        <v>0.18</v>
      </c>
      <c r="AJ15" s="64">
        <v>0.16999999999999998</v>
      </c>
      <c r="AK15" s="64">
        <v>0.35</v>
      </c>
      <c r="AL15" s="64">
        <v>0.13</v>
      </c>
      <c r="AM15" s="66" t="s">
        <v>122</v>
      </c>
    </row>
    <row r="16" spans="1:39" ht="15" customHeight="1" x14ac:dyDescent="0.2">
      <c r="A16" s="200" t="s">
        <v>127</v>
      </c>
      <c r="B16" s="201"/>
      <c r="C16" s="202" t="s">
        <v>128</v>
      </c>
      <c r="D16" s="64">
        <v>87.8</v>
      </c>
      <c r="E16" s="64">
        <v>18.899999999999999</v>
      </c>
      <c r="F16" s="64">
        <v>7.9</v>
      </c>
      <c r="G16" s="64">
        <v>2.5</v>
      </c>
      <c r="H16" s="64">
        <v>5.7</v>
      </c>
      <c r="I16" s="64">
        <v>0.6</v>
      </c>
      <c r="J16" s="64">
        <v>0.65</v>
      </c>
      <c r="K16" s="64">
        <v>0.32</v>
      </c>
      <c r="L16" s="64">
        <v>0.35</v>
      </c>
      <c r="M16" s="64">
        <v>0.67</v>
      </c>
      <c r="N16" s="64">
        <v>0.13</v>
      </c>
      <c r="O16" s="64">
        <v>10.5</v>
      </c>
      <c r="P16" s="64">
        <v>1.8</v>
      </c>
      <c r="Q16" s="64">
        <v>26.1</v>
      </c>
      <c r="R16" s="64">
        <v>59.5</v>
      </c>
      <c r="S16" s="64">
        <v>1.3</v>
      </c>
      <c r="T16" s="64">
        <v>1.4000000000000001</v>
      </c>
      <c r="U16" s="64">
        <v>8.6</v>
      </c>
      <c r="V16" s="72">
        <v>5.6000000000000005</v>
      </c>
      <c r="W16" s="64">
        <v>3.7</v>
      </c>
      <c r="X16" s="64">
        <v>13.5</v>
      </c>
      <c r="Y16" s="64">
        <v>0.83000000000000007</v>
      </c>
      <c r="Z16" s="64">
        <v>7.4476987447698741</v>
      </c>
      <c r="AA16" s="64">
        <v>7.2803347280334725</v>
      </c>
      <c r="AB16" s="64">
        <v>5</v>
      </c>
      <c r="AC16" s="64">
        <v>5</v>
      </c>
      <c r="AD16" s="64">
        <v>5</v>
      </c>
      <c r="AE16" s="64"/>
      <c r="AF16" s="64"/>
      <c r="AG16" s="64">
        <v>0.44000000000000006</v>
      </c>
      <c r="AH16" s="64">
        <v>0.49000000000000005</v>
      </c>
      <c r="AI16" s="64">
        <v>0.26</v>
      </c>
      <c r="AJ16" s="64">
        <v>0.25</v>
      </c>
      <c r="AK16" s="64">
        <v>0.51</v>
      </c>
      <c r="AL16" s="64">
        <v>0.11000000000000001</v>
      </c>
      <c r="AM16" s="66" t="s">
        <v>122</v>
      </c>
    </row>
    <row r="17" spans="1:39" ht="15" customHeight="1" x14ac:dyDescent="0.2">
      <c r="A17" s="204" t="s">
        <v>129</v>
      </c>
      <c r="B17" s="201"/>
      <c r="C17" s="202" t="s">
        <v>130</v>
      </c>
      <c r="D17" s="64">
        <v>91.8</v>
      </c>
      <c r="E17" s="64">
        <v>77.2</v>
      </c>
      <c r="F17" s="64">
        <v>0.8</v>
      </c>
      <c r="G17" s="64">
        <v>0.6</v>
      </c>
      <c r="H17" s="64">
        <v>2.4</v>
      </c>
      <c r="I17" s="64">
        <v>5.89</v>
      </c>
      <c r="J17" s="64">
        <v>4.34</v>
      </c>
      <c r="K17" s="64">
        <v>1.7</v>
      </c>
      <c r="L17" s="64">
        <v>1.05</v>
      </c>
      <c r="M17" s="64">
        <v>2.75</v>
      </c>
      <c r="N17" s="64">
        <v>1.08</v>
      </c>
      <c r="O17" s="64">
        <v>17.8</v>
      </c>
      <c r="P17" s="64">
        <v>5.4</v>
      </c>
      <c r="Q17" s="64">
        <v>1.9</v>
      </c>
      <c r="R17" s="64">
        <v>56.5</v>
      </c>
      <c r="S17" s="64">
        <v>17.2</v>
      </c>
      <c r="T17" s="64">
        <v>2</v>
      </c>
      <c r="U17" s="64">
        <v>4.0999999999999996</v>
      </c>
      <c r="V17" s="72">
        <v>0.6</v>
      </c>
      <c r="W17" s="64">
        <v>0.5</v>
      </c>
      <c r="X17" s="64">
        <v>5.4</v>
      </c>
      <c r="Y17" s="64">
        <v>0.42000000000000004</v>
      </c>
      <c r="Z17" s="64">
        <v>0</v>
      </c>
      <c r="AA17" s="64">
        <v>0</v>
      </c>
      <c r="AB17" s="64">
        <v>5</v>
      </c>
      <c r="AC17" s="64">
        <v>5</v>
      </c>
      <c r="AD17" s="64">
        <v>5</v>
      </c>
      <c r="AE17" s="64"/>
      <c r="AF17" s="64"/>
      <c r="AG17" s="64">
        <v>5.42</v>
      </c>
      <c r="AH17" s="64">
        <v>3.95</v>
      </c>
      <c r="AI17" s="64">
        <v>1.65</v>
      </c>
      <c r="AJ17" s="64">
        <v>0.76</v>
      </c>
      <c r="AK17" s="64">
        <v>2.41</v>
      </c>
      <c r="AL17" s="64">
        <v>0.97</v>
      </c>
      <c r="AM17" s="66" t="s">
        <v>122</v>
      </c>
    </row>
    <row r="18" spans="1:39" ht="15" customHeight="1" x14ac:dyDescent="0.2">
      <c r="A18" s="200" t="s">
        <v>131</v>
      </c>
      <c r="B18" s="201" t="s">
        <v>132</v>
      </c>
      <c r="C18" s="203" t="s">
        <v>111</v>
      </c>
      <c r="D18" s="64">
        <v>86.4</v>
      </c>
      <c r="E18" s="64">
        <v>7.6</v>
      </c>
      <c r="F18" s="64">
        <v>2.2999999999999998</v>
      </c>
      <c r="G18" s="64">
        <v>3.3</v>
      </c>
      <c r="H18" s="64">
        <v>1.2</v>
      </c>
      <c r="I18" s="64">
        <v>0.22999999999999998</v>
      </c>
      <c r="J18" s="64">
        <v>0.28999999999999998</v>
      </c>
      <c r="K18" s="64">
        <v>0.16</v>
      </c>
      <c r="L18" s="64">
        <v>0.19</v>
      </c>
      <c r="M18" s="64">
        <v>0.35</v>
      </c>
      <c r="N18" s="64">
        <v>0.05</v>
      </c>
      <c r="O18" s="64">
        <v>3.2</v>
      </c>
      <c r="P18" s="64">
        <v>0.5</v>
      </c>
      <c r="Q18" s="64">
        <v>7.9</v>
      </c>
      <c r="R18" s="64">
        <v>17.899999999999999</v>
      </c>
      <c r="S18" s="64">
        <v>0.4</v>
      </c>
      <c r="T18" s="64">
        <v>0.4</v>
      </c>
      <c r="U18" s="64">
        <v>2.6</v>
      </c>
      <c r="V18" s="72">
        <v>1.9</v>
      </c>
      <c r="W18" s="64">
        <v>1.1000000000000001</v>
      </c>
      <c r="X18" s="64">
        <v>3.1</v>
      </c>
      <c r="Y18" s="64">
        <v>0.1</v>
      </c>
      <c r="Z18" s="64">
        <v>13.138075313807532</v>
      </c>
      <c r="AA18" s="64">
        <v>12.887029288702928</v>
      </c>
      <c r="AB18" s="67">
        <v>65</v>
      </c>
      <c r="AC18" s="67">
        <v>65</v>
      </c>
      <c r="AD18" s="67">
        <v>70</v>
      </c>
      <c r="AE18" s="64" t="s">
        <v>116</v>
      </c>
      <c r="AF18" s="64"/>
      <c r="AG18" s="64">
        <v>0.21000000000000002</v>
      </c>
      <c r="AH18" s="64">
        <v>0.24</v>
      </c>
      <c r="AI18" s="64">
        <v>0.15</v>
      </c>
      <c r="AJ18" s="64">
        <v>0.16</v>
      </c>
      <c r="AK18" s="64">
        <v>0.32</v>
      </c>
      <c r="AL18" s="64">
        <v>0.04</v>
      </c>
      <c r="AM18" s="66" t="s">
        <v>326</v>
      </c>
    </row>
    <row r="19" spans="1:39" ht="15" customHeight="1" x14ac:dyDescent="0.2">
      <c r="A19" s="200" t="s">
        <v>133</v>
      </c>
      <c r="B19" s="201" t="s">
        <v>134</v>
      </c>
      <c r="C19" s="203" t="s">
        <v>111</v>
      </c>
      <c r="D19" s="64">
        <v>86.4</v>
      </c>
      <c r="E19" s="64">
        <v>8.6</v>
      </c>
      <c r="F19" s="64">
        <v>2.2999999999999998</v>
      </c>
      <c r="G19" s="64">
        <v>3.3</v>
      </c>
      <c r="H19" s="64">
        <v>1.2</v>
      </c>
      <c r="I19" s="64">
        <v>0.26</v>
      </c>
      <c r="J19" s="64">
        <v>0.32999999999999996</v>
      </c>
      <c r="K19" s="64">
        <v>0.18</v>
      </c>
      <c r="L19" s="64">
        <v>0.22000000000000003</v>
      </c>
      <c r="M19" s="64">
        <v>0.4</v>
      </c>
      <c r="N19" s="64">
        <v>0.06</v>
      </c>
      <c r="O19" s="64">
        <v>3.2</v>
      </c>
      <c r="P19" s="64">
        <v>0.5</v>
      </c>
      <c r="Q19" s="64">
        <v>7.9</v>
      </c>
      <c r="R19" s="64">
        <v>17.899999999999999</v>
      </c>
      <c r="S19" s="64">
        <v>0.4</v>
      </c>
      <c r="T19" s="64">
        <v>0.4</v>
      </c>
      <c r="U19" s="64">
        <v>2.6</v>
      </c>
      <c r="V19" s="72">
        <v>1.9</v>
      </c>
      <c r="W19" s="64">
        <v>1.1000000000000001</v>
      </c>
      <c r="X19" s="64">
        <v>3.1</v>
      </c>
      <c r="Y19" s="64">
        <v>0.1</v>
      </c>
      <c r="Z19" s="64">
        <v>13.138075313807532</v>
      </c>
      <c r="AA19" s="64">
        <v>12.887029288702928</v>
      </c>
      <c r="AB19" s="67">
        <v>65</v>
      </c>
      <c r="AC19" s="67">
        <v>65</v>
      </c>
      <c r="AD19" s="67">
        <v>70</v>
      </c>
      <c r="AE19" s="64"/>
      <c r="AF19" s="64"/>
      <c r="AG19" s="64">
        <v>0.21000000000000002</v>
      </c>
      <c r="AH19" s="64">
        <v>0.24</v>
      </c>
      <c r="AI19" s="64">
        <v>0.15</v>
      </c>
      <c r="AJ19" s="64">
        <v>0.16</v>
      </c>
      <c r="AK19" s="64">
        <v>0.32</v>
      </c>
      <c r="AL19" s="64">
        <v>0.04</v>
      </c>
      <c r="AM19" s="66" t="s">
        <v>326</v>
      </c>
    </row>
    <row r="20" spans="1:39" ht="15" customHeight="1" x14ac:dyDescent="0.2">
      <c r="A20" s="200" t="s">
        <v>48</v>
      </c>
      <c r="B20" s="201" t="s">
        <v>135</v>
      </c>
      <c r="C20" s="203" t="s">
        <v>111</v>
      </c>
      <c r="D20" s="64">
        <v>86.4</v>
      </c>
      <c r="E20" s="64">
        <v>9.6</v>
      </c>
      <c r="F20" s="64">
        <v>2.2999999999999998</v>
      </c>
      <c r="G20" s="64">
        <v>3.3</v>
      </c>
      <c r="H20" s="64">
        <v>1.2</v>
      </c>
      <c r="I20" s="64">
        <v>0.28999999999999998</v>
      </c>
      <c r="J20" s="64">
        <v>0.37</v>
      </c>
      <c r="K20" s="64">
        <v>0.2</v>
      </c>
      <c r="L20" s="64">
        <v>0.24</v>
      </c>
      <c r="M20" s="64">
        <v>0.44000000000000006</v>
      </c>
      <c r="N20" s="64">
        <v>0.06</v>
      </c>
      <c r="O20" s="64">
        <v>3.2</v>
      </c>
      <c r="P20" s="64">
        <v>0.5</v>
      </c>
      <c r="Q20" s="64">
        <v>7.9</v>
      </c>
      <c r="R20" s="64">
        <v>17.899999999999999</v>
      </c>
      <c r="S20" s="64">
        <v>0.4</v>
      </c>
      <c r="T20" s="64">
        <v>0.4</v>
      </c>
      <c r="U20" s="64">
        <v>2.6</v>
      </c>
      <c r="V20" s="72">
        <v>1.9</v>
      </c>
      <c r="W20" s="64">
        <v>1.1000000000000001</v>
      </c>
      <c r="X20" s="64">
        <v>3.1</v>
      </c>
      <c r="Y20" s="64">
        <v>0.1</v>
      </c>
      <c r="Z20" s="64">
        <v>13.138075313807532</v>
      </c>
      <c r="AA20" s="64">
        <v>12.887029288702928</v>
      </c>
      <c r="AB20" s="67">
        <v>65</v>
      </c>
      <c r="AC20" s="67">
        <v>65</v>
      </c>
      <c r="AD20" s="67">
        <v>70</v>
      </c>
      <c r="AE20" s="64"/>
      <c r="AF20" s="64"/>
      <c r="AG20" s="64">
        <v>0.21000000000000002</v>
      </c>
      <c r="AH20" s="64">
        <v>0.24</v>
      </c>
      <c r="AI20" s="64">
        <v>0.15</v>
      </c>
      <c r="AJ20" s="64">
        <v>0.16</v>
      </c>
      <c r="AK20" s="64">
        <v>0.32</v>
      </c>
      <c r="AL20" s="64">
        <v>0.04</v>
      </c>
      <c r="AM20" s="66" t="s">
        <v>326</v>
      </c>
    </row>
    <row r="21" spans="1:39" ht="15" customHeight="1" x14ac:dyDescent="0.2">
      <c r="A21" s="200" t="s">
        <v>136</v>
      </c>
      <c r="B21" s="201"/>
      <c r="C21" s="202" t="s">
        <v>137</v>
      </c>
      <c r="D21" s="64">
        <v>91.300003051757813</v>
      </c>
      <c r="E21" s="64">
        <v>47.400001525878906</v>
      </c>
      <c r="F21" s="64">
        <v>0</v>
      </c>
      <c r="G21" s="64">
        <v>2.5999999046325684</v>
      </c>
      <c r="H21" s="64">
        <v>20.100000381469727</v>
      </c>
      <c r="I21" s="64">
        <v>2.6799999237060548</v>
      </c>
      <c r="J21" s="64">
        <v>1.9700000762939454</v>
      </c>
      <c r="K21" s="64">
        <v>0.88999996185302732</v>
      </c>
      <c r="L21" s="64">
        <v>0.55000000000000004</v>
      </c>
      <c r="M21" s="64">
        <v>1.4300000190734863</v>
      </c>
      <c r="N21" s="64">
        <v>0</v>
      </c>
      <c r="O21" s="64">
        <v>13.5</v>
      </c>
      <c r="P21" s="64">
        <v>7.4000000953674316</v>
      </c>
      <c r="Q21" s="64">
        <v>6.8000001907348633</v>
      </c>
      <c r="R21" s="64">
        <v>3</v>
      </c>
      <c r="S21" s="64">
        <v>1.1000000238418579</v>
      </c>
      <c r="T21" s="64">
        <v>0</v>
      </c>
      <c r="U21" s="64">
        <v>4.5999999999999996</v>
      </c>
      <c r="V21" s="72">
        <v>0</v>
      </c>
      <c r="W21" s="64">
        <v>0</v>
      </c>
      <c r="X21" s="64"/>
      <c r="Y21" s="64">
        <v>0</v>
      </c>
      <c r="Z21" s="64">
        <v>10.125523012552302</v>
      </c>
      <c r="AA21" s="64">
        <v>10</v>
      </c>
      <c r="AB21" s="64">
        <v>5</v>
      </c>
      <c r="AC21" s="64">
        <v>2</v>
      </c>
      <c r="AD21" s="64">
        <v>0</v>
      </c>
      <c r="AE21" s="64"/>
      <c r="AF21" s="64"/>
      <c r="AG21" s="64"/>
      <c r="AH21" s="64"/>
      <c r="AI21" s="64"/>
      <c r="AJ21" s="64"/>
      <c r="AK21" s="64"/>
      <c r="AL21" s="64"/>
      <c r="AM21" s="66" t="s">
        <v>326</v>
      </c>
    </row>
    <row r="22" spans="1:39" s="68" customFormat="1" ht="15" customHeight="1" x14ac:dyDescent="0.2">
      <c r="A22" s="200" t="s">
        <v>138</v>
      </c>
      <c r="B22" s="201"/>
      <c r="C22" s="202" t="s">
        <v>121</v>
      </c>
      <c r="D22" s="64">
        <v>87.9</v>
      </c>
      <c r="E22" s="64">
        <v>25.6</v>
      </c>
      <c r="F22" s="64">
        <v>9.1</v>
      </c>
      <c r="G22" s="64">
        <v>1.1000000000000001</v>
      </c>
      <c r="H22" s="64">
        <v>3.4</v>
      </c>
      <c r="I22" s="65">
        <v>1.67</v>
      </c>
      <c r="J22" s="65">
        <v>0.91999999999999993</v>
      </c>
      <c r="K22" s="65">
        <v>0.18</v>
      </c>
      <c r="L22" s="65">
        <v>0.32</v>
      </c>
      <c r="M22" s="65">
        <v>0.51</v>
      </c>
      <c r="N22" s="65">
        <v>0.21000000000000002</v>
      </c>
      <c r="O22" s="64">
        <v>17.2</v>
      </c>
      <c r="P22" s="64">
        <v>2.6</v>
      </c>
      <c r="Q22" s="64">
        <v>25.8</v>
      </c>
      <c r="R22" s="64">
        <v>49.9</v>
      </c>
      <c r="S22" s="64">
        <v>3.5</v>
      </c>
      <c r="T22" s="64">
        <v>1.3</v>
      </c>
      <c r="U22" s="64">
        <v>4.9000000000000004</v>
      </c>
      <c r="V22" s="72">
        <v>2.9</v>
      </c>
      <c r="W22" s="64">
        <v>1.6</v>
      </c>
      <c r="X22" s="64">
        <v>10.3</v>
      </c>
      <c r="Y22" s="64">
        <v>0.11</v>
      </c>
      <c r="Z22" s="64">
        <v>9.5815899581589949</v>
      </c>
      <c r="AA22" s="64">
        <v>9.3305439330543933</v>
      </c>
      <c r="AB22" s="67">
        <v>0</v>
      </c>
      <c r="AC22" s="67">
        <v>10</v>
      </c>
      <c r="AD22" s="67">
        <v>7</v>
      </c>
      <c r="AE22" s="64" t="s">
        <v>116</v>
      </c>
      <c r="AF22" s="64">
        <v>1.1000000000000001</v>
      </c>
      <c r="AG22" s="67">
        <v>1.44</v>
      </c>
      <c r="AH22" s="67">
        <v>0.71</v>
      </c>
      <c r="AI22" s="67">
        <v>0.16</v>
      </c>
      <c r="AJ22" s="67">
        <v>0.39</v>
      </c>
      <c r="AK22" s="67">
        <v>0.13999999999999999</v>
      </c>
      <c r="AL22" s="67">
        <v>0.83000000000000007</v>
      </c>
      <c r="AM22" s="66" t="s">
        <v>326</v>
      </c>
    </row>
    <row r="23" spans="1:39" ht="15" customHeight="1" x14ac:dyDescent="0.2">
      <c r="A23" s="200" t="s">
        <v>50</v>
      </c>
      <c r="B23" s="201"/>
      <c r="C23" s="202" t="s">
        <v>121</v>
      </c>
      <c r="D23" s="64">
        <v>84.4</v>
      </c>
      <c r="E23" s="64">
        <v>24.4</v>
      </c>
      <c r="F23" s="64">
        <v>8.6</v>
      </c>
      <c r="G23" s="64">
        <v>1</v>
      </c>
      <c r="H23" s="64">
        <v>3.4</v>
      </c>
      <c r="I23" s="65">
        <v>1.6</v>
      </c>
      <c r="J23" s="65">
        <v>0.86999999999999988</v>
      </c>
      <c r="K23" s="65">
        <v>0.18</v>
      </c>
      <c r="L23" s="65">
        <v>0.31</v>
      </c>
      <c r="M23" s="65">
        <v>0.48</v>
      </c>
      <c r="N23" s="65">
        <v>0.2</v>
      </c>
      <c r="O23" s="64">
        <v>17.2</v>
      </c>
      <c r="P23" s="64">
        <v>2.6</v>
      </c>
      <c r="Q23" s="64">
        <v>25.8</v>
      </c>
      <c r="R23" s="64">
        <v>49.9</v>
      </c>
      <c r="S23" s="64">
        <v>3.5</v>
      </c>
      <c r="T23" s="64">
        <v>1.3</v>
      </c>
      <c r="U23" s="64">
        <v>4.7</v>
      </c>
      <c r="V23" s="72">
        <v>2.8</v>
      </c>
      <c r="W23" s="64">
        <v>1.6999999999999997</v>
      </c>
      <c r="X23" s="64">
        <v>10.1</v>
      </c>
      <c r="Y23" s="64">
        <v>0.1</v>
      </c>
      <c r="Z23" s="64">
        <v>10.0418410041841</v>
      </c>
      <c r="AA23" s="64">
        <v>9.8326359832635983</v>
      </c>
      <c r="AB23" s="67">
        <v>15</v>
      </c>
      <c r="AC23" s="67">
        <v>20</v>
      </c>
      <c r="AD23" s="67">
        <v>7</v>
      </c>
      <c r="AE23" s="64" t="s">
        <v>116</v>
      </c>
      <c r="AF23" s="64">
        <v>1.1000000000000001</v>
      </c>
      <c r="AG23" s="67">
        <v>1.3699999999999999</v>
      </c>
      <c r="AH23" s="67">
        <v>0.67999999999999994</v>
      </c>
      <c r="AI23" s="67">
        <v>0.15</v>
      </c>
      <c r="AJ23" s="67">
        <v>0.22000000000000003</v>
      </c>
      <c r="AK23" s="67">
        <v>0.37</v>
      </c>
      <c r="AL23" s="67">
        <v>0.13</v>
      </c>
      <c r="AM23" s="66" t="s">
        <v>326</v>
      </c>
    </row>
    <row r="24" spans="1:39" ht="15" customHeight="1" x14ac:dyDescent="0.2">
      <c r="A24" s="200" t="s">
        <v>139</v>
      </c>
      <c r="B24" s="201"/>
      <c r="C24" s="202" t="s">
        <v>325</v>
      </c>
      <c r="D24" s="64">
        <v>16.100000000000001</v>
      </c>
      <c r="E24" s="64">
        <v>1.3</v>
      </c>
      <c r="F24" s="64">
        <v>1</v>
      </c>
      <c r="G24" s="64">
        <v>7.0000000000000007E-2</v>
      </c>
      <c r="H24" s="64">
        <v>1.7</v>
      </c>
      <c r="I24" s="64">
        <v>7.0000000000000007E-2</v>
      </c>
      <c r="J24" s="64">
        <v>0.06</v>
      </c>
      <c r="K24" s="64">
        <v>0.02</v>
      </c>
      <c r="L24" s="64">
        <v>0.01</v>
      </c>
      <c r="M24" s="64">
        <v>0.04</v>
      </c>
      <c r="N24" s="64">
        <v>0.02</v>
      </c>
      <c r="O24" s="64">
        <v>0.06</v>
      </c>
      <c r="P24" s="64">
        <v>0</v>
      </c>
      <c r="Q24" s="64">
        <v>0.03</v>
      </c>
      <c r="R24" s="64">
        <v>0.2</v>
      </c>
      <c r="S24" s="64">
        <v>0.03</v>
      </c>
      <c r="T24" s="64">
        <v>9</v>
      </c>
      <c r="U24" s="64">
        <v>4</v>
      </c>
      <c r="V24" s="72">
        <v>0.4</v>
      </c>
      <c r="W24" s="64">
        <v>6</v>
      </c>
      <c r="X24" s="64">
        <v>50</v>
      </c>
      <c r="Y24" s="64">
        <v>11</v>
      </c>
      <c r="Z24" s="64">
        <v>1.6</v>
      </c>
      <c r="AA24" s="64">
        <v>1.6</v>
      </c>
      <c r="AB24" s="64"/>
      <c r="AC24" s="64"/>
      <c r="AD24" s="64"/>
      <c r="AE24" s="64"/>
      <c r="AF24" s="64"/>
      <c r="AG24" s="64">
        <v>0.06</v>
      </c>
      <c r="AH24" s="64">
        <v>0.04</v>
      </c>
      <c r="AI24" s="64">
        <v>0.02</v>
      </c>
      <c r="AJ24" s="64">
        <v>0.01</v>
      </c>
      <c r="AK24" s="64">
        <v>0.03</v>
      </c>
      <c r="AL24" s="64">
        <v>0.01</v>
      </c>
      <c r="AM24" s="66" t="s">
        <v>119</v>
      </c>
    </row>
    <row r="25" spans="1:39" ht="15" customHeight="1" x14ac:dyDescent="0.2">
      <c r="A25" s="200" t="s">
        <v>140</v>
      </c>
      <c r="B25" s="201"/>
      <c r="C25" s="202" t="s">
        <v>121</v>
      </c>
      <c r="D25" s="64">
        <v>87.9</v>
      </c>
      <c r="E25" s="64">
        <v>24.2</v>
      </c>
      <c r="F25" s="64">
        <v>6.6</v>
      </c>
      <c r="G25" s="64">
        <v>0.7</v>
      </c>
      <c r="H25" s="64">
        <v>3.1</v>
      </c>
      <c r="I25" s="64">
        <v>0.60199999999999998</v>
      </c>
      <c r="J25" s="64">
        <v>0.33999999999999997</v>
      </c>
      <c r="K25" s="64">
        <v>0.09</v>
      </c>
      <c r="L25" s="64">
        <v>0.16999999999999998</v>
      </c>
      <c r="M25" s="64">
        <v>0.26</v>
      </c>
      <c r="N25" s="64">
        <v>0.09</v>
      </c>
      <c r="O25" s="64">
        <v>10.7</v>
      </c>
      <c r="P25" s="64">
        <v>8.89</v>
      </c>
      <c r="Q25" s="64">
        <v>19.399999999999999</v>
      </c>
      <c r="R25" s="64">
        <v>50.4</v>
      </c>
      <c r="S25" s="64">
        <v>6.78</v>
      </c>
      <c r="T25" s="64">
        <v>1</v>
      </c>
      <c r="U25" s="64">
        <v>2.6</v>
      </c>
      <c r="V25" s="72">
        <v>1.1000000000000001</v>
      </c>
      <c r="W25" s="64">
        <v>1.3</v>
      </c>
      <c r="X25" s="64">
        <v>9.1999999999999993</v>
      </c>
      <c r="Y25" s="64">
        <v>0.2</v>
      </c>
      <c r="Z25" s="64">
        <v>11.548117154811715</v>
      </c>
      <c r="AA25" s="64">
        <v>11.297071129707113</v>
      </c>
      <c r="AB25" s="64"/>
      <c r="AC25" s="64"/>
      <c r="AD25" s="64"/>
      <c r="AE25" s="64"/>
      <c r="AF25" s="64"/>
      <c r="AG25" s="64">
        <v>0</v>
      </c>
      <c r="AH25" s="64">
        <v>0</v>
      </c>
      <c r="AI25" s="64">
        <v>0</v>
      </c>
      <c r="AJ25" s="64">
        <v>0</v>
      </c>
      <c r="AK25" s="64">
        <v>0</v>
      </c>
      <c r="AL25" s="64">
        <v>0</v>
      </c>
      <c r="AM25" s="66" t="s">
        <v>326</v>
      </c>
    </row>
    <row r="26" spans="1:39" ht="15" customHeight="1" x14ac:dyDescent="0.2">
      <c r="A26" s="204" t="s">
        <v>141</v>
      </c>
      <c r="B26" s="201"/>
      <c r="C26" s="202" t="s">
        <v>125</v>
      </c>
      <c r="D26" s="64">
        <v>90.4</v>
      </c>
      <c r="E26" s="64">
        <v>30.4</v>
      </c>
      <c r="F26" s="64">
        <v>28.4</v>
      </c>
      <c r="G26" s="64">
        <v>11.1</v>
      </c>
      <c r="H26" s="64">
        <v>6.1</v>
      </c>
      <c r="I26" s="64">
        <v>1.04</v>
      </c>
      <c r="J26" s="64">
        <v>1.08</v>
      </c>
      <c r="K26" s="64">
        <v>0.7</v>
      </c>
      <c r="L26" s="64">
        <v>0.52</v>
      </c>
      <c r="M26" s="64">
        <v>1.22</v>
      </c>
      <c r="N26" s="64">
        <v>0.3</v>
      </c>
      <c r="O26" s="64">
        <v>6.6</v>
      </c>
      <c r="P26" s="64">
        <v>2.5</v>
      </c>
      <c r="Q26" s="64">
        <v>11.9</v>
      </c>
      <c r="R26" s="64">
        <v>55.1</v>
      </c>
      <c r="S26" s="64">
        <v>21.4</v>
      </c>
      <c r="T26" s="64">
        <v>2.6</v>
      </c>
      <c r="U26" s="64">
        <v>9.5</v>
      </c>
      <c r="V26" s="72">
        <v>5.7000000000000011</v>
      </c>
      <c r="W26" s="64">
        <v>0</v>
      </c>
      <c r="X26" s="64">
        <v>0</v>
      </c>
      <c r="Y26" s="64"/>
      <c r="Z26" s="64">
        <v>8.99581589958159</v>
      </c>
      <c r="AA26" s="64">
        <v>8.535564853556485</v>
      </c>
      <c r="AB26" s="65">
        <v>10</v>
      </c>
      <c r="AC26" s="65">
        <v>15</v>
      </c>
      <c r="AD26" s="65">
        <v>15</v>
      </c>
      <c r="AE26" s="64" t="s">
        <v>116</v>
      </c>
      <c r="AF26" s="64">
        <v>2.2000000000000002</v>
      </c>
      <c r="AG26" s="64">
        <v>0</v>
      </c>
      <c r="AH26" s="64">
        <v>0</v>
      </c>
      <c r="AI26" s="64">
        <v>0</v>
      </c>
      <c r="AJ26" s="64">
        <v>0</v>
      </c>
      <c r="AK26" s="64">
        <v>0</v>
      </c>
      <c r="AL26" s="64">
        <v>0</v>
      </c>
      <c r="AM26" s="66" t="s">
        <v>326</v>
      </c>
    </row>
    <row r="27" spans="1:39" ht="15" customHeight="1" x14ac:dyDescent="0.2">
      <c r="A27" s="200" t="s">
        <v>142</v>
      </c>
      <c r="B27" s="201"/>
      <c r="C27" s="202" t="s">
        <v>125</v>
      </c>
      <c r="D27" s="64">
        <v>90.400001525878906</v>
      </c>
      <c r="E27" s="64">
        <v>33.400001525878906</v>
      </c>
      <c r="F27" s="64">
        <v>7.4000000953674316</v>
      </c>
      <c r="G27" s="64">
        <v>12.800000190734863</v>
      </c>
      <c r="H27" s="64">
        <v>4.8000001907348633</v>
      </c>
      <c r="I27" s="64">
        <v>1.3100000381469727</v>
      </c>
      <c r="J27" s="64">
        <v>1.2699999809265137</v>
      </c>
      <c r="K27" s="64">
        <v>0.63000001907348635</v>
      </c>
      <c r="L27" s="64">
        <v>0.61999998092651365</v>
      </c>
      <c r="M27" s="64">
        <v>1.25</v>
      </c>
      <c r="N27" s="64">
        <v>0.5</v>
      </c>
      <c r="O27" s="64">
        <v>5.5999999046325684</v>
      </c>
      <c r="P27" s="64">
        <v>4.4000000953674316</v>
      </c>
      <c r="Q27" s="64">
        <v>20.200000762939453</v>
      </c>
      <c r="R27" s="64">
        <v>14.699999809265137</v>
      </c>
      <c r="S27" s="64">
        <v>53.799999237060547</v>
      </c>
      <c r="T27" s="64">
        <v>3.9000000953674316</v>
      </c>
      <c r="U27" s="64">
        <v>8.3999996185302734</v>
      </c>
      <c r="V27" s="72">
        <v>5.5</v>
      </c>
      <c r="W27" s="64">
        <v>4.6999998092651367</v>
      </c>
      <c r="X27" s="64">
        <v>10.199999809265137</v>
      </c>
      <c r="Y27" s="64">
        <v>0.62000000476837158</v>
      </c>
      <c r="Z27" s="64">
        <v>11.548117154811715</v>
      </c>
      <c r="AA27" s="64">
        <v>11.00418410041841</v>
      </c>
      <c r="AB27" s="67">
        <v>0</v>
      </c>
      <c r="AC27" s="67">
        <v>5</v>
      </c>
      <c r="AD27" s="67">
        <v>5</v>
      </c>
      <c r="AE27" s="64"/>
      <c r="AF27" s="64"/>
      <c r="AG27" s="64">
        <v>1.0899999618530274</v>
      </c>
      <c r="AH27" s="64">
        <v>1.0100000381469727</v>
      </c>
      <c r="AI27" s="64">
        <v>0.55000000000000004</v>
      </c>
      <c r="AJ27" s="64">
        <v>0.40999999046325686</v>
      </c>
      <c r="AK27" s="64">
        <v>0.96999998092651363</v>
      </c>
      <c r="AL27" s="64">
        <v>0.4</v>
      </c>
      <c r="AM27" s="66" t="s">
        <v>326</v>
      </c>
    </row>
    <row r="28" spans="1:39" ht="15" customHeight="1" x14ac:dyDescent="0.2">
      <c r="A28" s="200" t="s">
        <v>143</v>
      </c>
      <c r="B28" s="201"/>
      <c r="C28" s="202" t="s">
        <v>118</v>
      </c>
      <c r="D28" s="64"/>
      <c r="E28" s="64"/>
      <c r="F28" s="64"/>
      <c r="G28" s="64"/>
      <c r="H28" s="64"/>
      <c r="I28" s="64">
        <v>0</v>
      </c>
      <c r="J28" s="64">
        <v>0</v>
      </c>
      <c r="K28" s="64">
        <v>0</v>
      </c>
      <c r="L28" s="64">
        <v>0</v>
      </c>
      <c r="M28" s="64">
        <v>0</v>
      </c>
      <c r="N28" s="64">
        <v>0</v>
      </c>
      <c r="O28" s="64">
        <v>0</v>
      </c>
      <c r="P28" s="64">
        <v>0</v>
      </c>
      <c r="Q28" s="64">
        <v>0</v>
      </c>
      <c r="R28" s="64">
        <v>0</v>
      </c>
      <c r="S28" s="64">
        <v>0</v>
      </c>
      <c r="T28" s="64">
        <v>33</v>
      </c>
      <c r="U28" s="64">
        <v>0</v>
      </c>
      <c r="V28" s="72">
        <v>0</v>
      </c>
      <c r="W28" s="64">
        <v>3.3</v>
      </c>
      <c r="X28" s="64">
        <v>0</v>
      </c>
      <c r="Y28" s="64">
        <v>0</v>
      </c>
      <c r="Z28" s="64">
        <v>0</v>
      </c>
      <c r="AA28" s="64">
        <v>0</v>
      </c>
      <c r="AB28" s="64">
        <v>5</v>
      </c>
      <c r="AC28" s="64">
        <v>5</v>
      </c>
      <c r="AD28" s="64">
        <v>5</v>
      </c>
      <c r="AE28" s="64"/>
      <c r="AF28" s="64"/>
      <c r="AG28" s="64"/>
      <c r="AH28" s="64"/>
      <c r="AI28" s="64"/>
      <c r="AJ28" s="64"/>
      <c r="AK28" s="64"/>
      <c r="AL28" s="64"/>
      <c r="AM28" s="66" t="s">
        <v>326</v>
      </c>
    </row>
    <row r="29" spans="1:39" ht="15" customHeight="1" x14ac:dyDescent="0.2">
      <c r="A29" s="200" t="s">
        <v>144</v>
      </c>
      <c r="B29" s="201"/>
      <c r="C29" s="202" t="s">
        <v>145</v>
      </c>
      <c r="D29" s="64">
        <v>75.400000000000006</v>
      </c>
      <c r="E29" s="64">
        <v>10.7</v>
      </c>
      <c r="F29" s="64">
        <v>0</v>
      </c>
      <c r="G29" s="64">
        <v>0.2</v>
      </c>
      <c r="H29" s="64">
        <v>9.6</v>
      </c>
      <c r="I29" s="64">
        <v>0.16</v>
      </c>
      <c r="J29" s="64">
        <v>6.9999999999999993E-2</v>
      </c>
      <c r="K29" s="64">
        <v>0.02</v>
      </c>
      <c r="L29" s="64">
        <v>6.9999999999999993E-2</v>
      </c>
      <c r="M29" s="64">
        <v>0.09</v>
      </c>
      <c r="N29" s="64">
        <v>0.08</v>
      </c>
      <c r="O29" s="64">
        <v>0.4</v>
      </c>
      <c r="P29" s="64">
        <v>0.03</v>
      </c>
      <c r="Q29" s="64">
        <v>0.2</v>
      </c>
      <c r="R29" s="64">
        <v>0.6</v>
      </c>
      <c r="S29" s="64">
        <v>0.2</v>
      </c>
      <c r="T29" s="64">
        <v>0.9</v>
      </c>
      <c r="U29" s="64">
        <v>0.2</v>
      </c>
      <c r="V29" s="72">
        <v>0.02</v>
      </c>
      <c r="W29" s="64">
        <v>0.2</v>
      </c>
      <c r="X29" s="64">
        <v>38.6</v>
      </c>
      <c r="Y29" s="64">
        <v>5.15</v>
      </c>
      <c r="Z29" s="64">
        <v>9.2887029288702934</v>
      </c>
      <c r="AA29" s="64">
        <v>9.2887029288702934</v>
      </c>
      <c r="AB29" s="67"/>
      <c r="AC29" s="67"/>
      <c r="AD29" s="67"/>
      <c r="AE29" s="64"/>
      <c r="AF29" s="64"/>
      <c r="AG29" s="64">
        <v>0.15</v>
      </c>
      <c r="AH29" s="64">
        <v>0.06</v>
      </c>
      <c r="AI29" s="64">
        <v>0.02</v>
      </c>
      <c r="AJ29" s="64">
        <v>0.06</v>
      </c>
      <c r="AK29" s="64">
        <v>0.08</v>
      </c>
      <c r="AL29" s="64">
        <v>0.08</v>
      </c>
      <c r="AM29" s="66" t="s">
        <v>122</v>
      </c>
    </row>
    <row r="30" spans="1:39" ht="15" customHeight="1" x14ac:dyDescent="0.2">
      <c r="A30" s="204" t="s">
        <v>146</v>
      </c>
      <c r="B30" s="201"/>
      <c r="C30" s="203" t="s">
        <v>118</v>
      </c>
      <c r="D30" s="64">
        <v>98.5</v>
      </c>
      <c r="E30" s="64"/>
      <c r="F30" s="64"/>
      <c r="G30" s="64"/>
      <c r="H30" s="64">
        <v>80.5</v>
      </c>
      <c r="I30" s="64">
        <v>0</v>
      </c>
      <c r="J30" s="64">
        <v>0</v>
      </c>
      <c r="K30" s="64">
        <v>0</v>
      </c>
      <c r="L30" s="64">
        <v>0</v>
      </c>
      <c r="M30" s="64">
        <v>0</v>
      </c>
      <c r="N30" s="64">
        <v>0</v>
      </c>
      <c r="O30" s="64">
        <v>0</v>
      </c>
      <c r="P30" s="64">
        <v>0</v>
      </c>
      <c r="Q30" s="64">
        <v>0</v>
      </c>
      <c r="R30" s="64">
        <v>0</v>
      </c>
      <c r="S30" s="64">
        <v>0</v>
      </c>
      <c r="T30" s="64">
        <v>167</v>
      </c>
      <c r="U30" s="64">
        <v>224</v>
      </c>
      <c r="V30" s="72"/>
      <c r="W30" s="64">
        <v>4.8</v>
      </c>
      <c r="X30" s="64">
        <v>2.2999999999999998</v>
      </c>
      <c r="Y30" s="64">
        <v>0.72</v>
      </c>
      <c r="Z30" s="64">
        <v>0</v>
      </c>
      <c r="AA30" s="64">
        <v>0</v>
      </c>
      <c r="AB30" s="67">
        <v>5</v>
      </c>
      <c r="AC30" s="67">
        <v>5</v>
      </c>
      <c r="AD30" s="67">
        <v>5</v>
      </c>
      <c r="AE30" s="64"/>
      <c r="AF30" s="64"/>
      <c r="AG30" s="64"/>
      <c r="AH30" s="64"/>
      <c r="AI30" s="64"/>
      <c r="AJ30" s="64"/>
      <c r="AK30" s="64"/>
      <c r="AL30" s="64"/>
      <c r="AM30" s="66" t="s">
        <v>119</v>
      </c>
    </row>
    <row r="31" spans="1:39" ht="15" customHeight="1" x14ac:dyDescent="0.2">
      <c r="A31" s="204" t="s">
        <v>147</v>
      </c>
      <c r="B31" s="201" t="s">
        <v>148</v>
      </c>
      <c r="C31" s="203" t="s">
        <v>111</v>
      </c>
      <c r="D31" s="64">
        <v>87.800003051757798</v>
      </c>
      <c r="E31" s="64">
        <v>9.3999996185302734</v>
      </c>
      <c r="F31" s="64">
        <v>11.199999809265137</v>
      </c>
      <c r="G31" s="64">
        <v>4.5999999046325684</v>
      </c>
      <c r="H31" s="64">
        <v>2.5999999046325684</v>
      </c>
      <c r="I31" s="64">
        <v>0.39000000953674319</v>
      </c>
      <c r="J31" s="64">
        <v>0.32999999523162843</v>
      </c>
      <c r="K31" s="64">
        <v>0.17000000476837157</v>
      </c>
      <c r="L31" s="64">
        <v>0.30999999046325682</v>
      </c>
      <c r="M31" s="64">
        <v>0.48000001907348633</v>
      </c>
      <c r="N31" s="64">
        <v>0.12000000476837158</v>
      </c>
      <c r="O31" s="64">
        <v>16.5</v>
      </c>
      <c r="P31" s="64">
        <v>1.2000000476837158</v>
      </c>
      <c r="Q31" s="64">
        <v>38.599998474121094</v>
      </c>
      <c r="R31" s="64">
        <v>40.900001525878906</v>
      </c>
      <c r="S31" s="64">
        <v>1.6000000238418579</v>
      </c>
      <c r="T31" s="64">
        <v>1</v>
      </c>
      <c r="U31" s="64">
        <v>3.2000000476837158</v>
      </c>
      <c r="V31" s="72">
        <v>1.8999999761581421</v>
      </c>
      <c r="W31" s="64">
        <v>0.89999997615814209</v>
      </c>
      <c r="X31" s="64">
        <v>4.5</v>
      </c>
      <c r="Y31" s="64">
        <v>0.12</v>
      </c>
      <c r="Z31" s="64">
        <v>9.9163179916317983</v>
      </c>
      <c r="AA31" s="64">
        <v>9.3723849372384933</v>
      </c>
      <c r="AB31" s="67">
        <v>5</v>
      </c>
      <c r="AC31" s="67">
        <v>10</v>
      </c>
      <c r="AD31" s="67">
        <v>10</v>
      </c>
      <c r="AE31" s="64">
        <v>0.69999998807907104</v>
      </c>
      <c r="AF31" s="64">
        <v>0.80000001192092896</v>
      </c>
      <c r="AG31" s="64">
        <v>0.32999999523162843</v>
      </c>
      <c r="AH31" s="64">
        <v>0.24000000953674316</v>
      </c>
      <c r="AI31" s="64">
        <v>0.15</v>
      </c>
      <c r="AJ31" s="64">
        <v>0.20999999046325685</v>
      </c>
      <c r="AK31" s="64">
        <v>0.35999999046325681</v>
      </c>
      <c r="AL31" s="64">
        <v>8.9999997615814203E-2</v>
      </c>
      <c r="AM31" s="66" t="s">
        <v>326</v>
      </c>
    </row>
    <row r="32" spans="1:39" ht="15" customHeight="1" x14ac:dyDescent="0.2">
      <c r="A32" s="204" t="s">
        <v>149</v>
      </c>
      <c r="B32" s="201" t="s">
        <v>150</v>
      </c>
      <c r="C32" s="203" t="s">
        <v>111</v>
      </c>
      <c r="D32" s="64">
        <v>85.7</v>
      </c>
      <c r="E32" s="64">
        <v>11.1</v>
      </c>
      <c r="F32" s="64">
        <v>3.9</v>
      </c>
      <c r="G32" s="64">
        <v>2.6</v>
      </c>
      <c r="H32" s="64">
        <v>2.1</v>
      </c>
      <c r="I32" s="64">
        <v>0.45999999999999996</v>
      </c>
      <c r="J32" s="64">
        <v>0.39</v>
      </c>
      <c r="K32" s="64">
        <v>0.19</v>
      </c>
      <c r="L32" s="64">
        <v>0.35</v>
      </c>
      <c r="M32" s="64">
        <v>0.54</v>
      </c>
      <c r="N32" s="64">
        <v>0.13999999999999999</v>
      </c>
      <c r="O32" s="64">
        <v>3.9</v>
      </c>
      <c r="P32" s="64">
        <v>0.3</v>
      </c>
      <c r="Q32" s="64">
        <v>8.8000000000000007</v>
      </c>
      <c r="R32" s="64">
        <v>8.9</v>
      </c>
      <c r="S32" s="64">
        <v>0.4</v>
      </c>
      <c r="T32" s="64">
        <v>0.9</v>
      </c>
      <c r="U32" s="64">
        <v>2.9</v>
      </c>
      <c r="V32" s="72">
        <v>1.6</v>
      </c>
      <c r="W32" s="64">
        <v>0.9</v>
      </c>
      <c r="X32" s="64">
        <v>4.5</v>
      </c>
      <c r="Y32" s="64">
        <v>0.12</v>
      </c>
      <c r="Z32" s="64">
        <v>9.8744769874476983</v>
      </c>
      <c r="AA32" s="64">
        <v>9.3723849372384933</v>
      </c>
      <c r="AB32" s="67">
        <v>5</v>
      </c>
      <c r="AC32" s="67">
        <v>10</v>
      </c>
      <c r="AD32" s="67">
        <v>10</v>
      </c>
      <c r="AE32" s="64" t="s">
        <v>116</v>
      </c>
      <c r="AF32" s="64">
        <v>0.6</v>
      </c>
      <c r="AG32" s="64">
        <v>0.41</v>
      </c>
      <c r="AH32" s="64">
        <v>0.31</v>
      </c>
      <c r="AI32" s="64">
        <v>0.18</v>
      </c>
      <c r="AJ32" s="64">
        <v>0.25</v>
      </c>
      <c r="AK32" s="64">
        <v>0.43</v>
      </c>
      <c r="AL32" s="64">
        <v>0.11000000000000001</v>
      </c>
      <c r="AM32" s="66" t="s">
        <v>122</v>
      </c>
    </row>
    <row r="33" spans="1:39" ht="15" customHeight="1" x14ac:dyDescent="0.2">
      <c r="A33" s="204" t="s">
        <v>151</v>
      </c>
      <c r="B33" s="201" t="s">
        <v>152</v>
      </c>
      <c r="C33" s="202" t="s">
        <v>111</v>
      </c>
      <c r="D33" s="64">
        <v>87.6</v>
      </c>
      <c r="E33" s="64">
        <v>9.4</v>
      </c>
      <c r="F33" s="64">
        <v>11.6</v>
      </c>
      <c r="G33" s="64">
        <v>4.7</v>
      </c>
      <c r="H33" s="64">
        <v>2.5</v>
      </c>
      <c r="I33" s="64">
        <v>0.4</v>
      </c>
      <c r="J33" s="64">
        <v>0.32999999999999996</v>
      </c>
      <c r="K33" s="64">
        <v>0.16999999999999998</v>
      </c>
      <c r="L33" s="64">
        <v>0.31</v>
      </c>
      <c r="M33" s="64">
        <v>0.49000000000000005</v>
      </c>
      <c r="N33" s="64">
        <v>0.12</v>
      </c>
      <c r="O33" s="64">
        <v>16.600000000000001</v>
      </c>
      <c r="P33" s="64">
        <v>1.2</v>
      </c>
      <c r="Q33" s="64">
        <v>37.1</v>
      </c>
      <c r="R33" s="64">
        <v>37.5</v>
      </c>
      <c r="S33" s="64">
        <v>1.5</v>
      </c>
      <c r="T33" s="64">
        <v>1</v>
      </c>
      <c r="U33" s="64">
        <v>3.1</v>
      </c>
      <c r="V33" s="72">
        <v>1.7</v>
      </c>
      <c r="W33" s="64">
        <v>0.9</v>
      </c>
      <c r="X33" s="64">
        <v>4.5</v>
      </c>
      <c r="Y33" s="64">
        <v>0.12</v>
      </c>
      <c r="Z33" s="64">
        <v>11.799163179916318</v>
      </c>
      <c r="AA33" s="64">
        <v>11.213389121338912</v>
      </c>
      <c r="AB33" s="64">
        <v>5</v>
      </c>
      <c r="AC33" s="64">
        <v>10</v>
      </c>
      <c r="AD33" s="64">
        <v>10</v>
      </c>
      <c r="AE33" s="64" t="s">
        <v>116</v>
      </c>
      <c r="AF33" s="64" t="s">
        <v>116</v>
      </c>
      <c r="AG33" s="64">
        <v>0.41</v>
      </c>
      <c r="AH33" s="64">
        <v>0.31</v>
      </c>
      <c r="AI33" s="64">
        <v>0.18</v>
      </c>
      <c r="AJ33" s="64">
        <v>0.25</v>
      </c>
      <c r="AK33" s="64">
        <v>0.43</v>
      </c>
      <c r="AL33" s="64">
        <v>0.11000000000000001</v>
      </c>
      <c r="AM33" s="66" t="s">
        <v>122</v>
      </c>
    </row>
    <row r="34" spans="1:39" ht="15" customHeight="1" x14ac:dyDescent="0.2">
      <c r="A34" s="200" t="s">
        <v>153</v>
      </c>
      <c r="B34" s="201"/>
      <c r="C34" s="202" t="s">
        <v>109</v>
      </c>
      <c r="D34" s="64">
        <v>94.400001525878906</v>
      </c>
      <c r="E34" s="64">
        <v>30.700000762939453</v>
      </c>
      <c r="F34" s="64">
        <v>10</v>
      </c>
      <c r="G34" s="64">
        <v>11.699999809265137</v>
      </c>
      <c r="H34" s="64">
        <v>4.3000001907348633</v>
      </c>
      <c r="I34" s="64">
        <v>1.7899999618530273</v>
      </c>
      <c r="J34" s="64">
        <v>1.3100000381469727</v>
      </c>
      <c r="K34" s="64">
        <v>0.44000000953674318</v>
      </c>
      <c r="L34" s="64">
        <v>0.43000001907348634</v>
      </c>
      <c r="M34" s="64">
        <v>0.86999998092651365</v>
      </c>
      <c r="N34" s="64">
        <v>0.41999998092651369</v>
      </c>
      <c r="O34" s="64">
        <v>11.199999809265137</v>
      </c>
      <c r="P34" s="64">
        <v>3.7999999523162842</v>
      </c>
      <c r="Q34" s="64">
        <v>23.100000381469727</v>
      </c>
      <c r="R34" s="64">
        <v>54</v>
      </c>
      <c r="S34" s="64">
        <v>7.1999998092651367</v>
      </c>
      <c r="T34" s="64">
        <v>3.5</v>
      </c>
      <c r="U34" s="64">
        <v>5.1999998092651367</v>
      </c>
      <c r="V34" s="72">
        <v>3.0999999046325684</v>
      </c>
      <c r="W34" s="64"/>
      <c r="X34" s="64"/>
      <c r="Y34" s="64"/>
      <c r="Z34" s="64">
        <v>11.92468619246862</v>
      </c>
      <c r="AA34" s="64">
        <v>11.589958158995817</v>
      </c>
      <c r="AB34" s="67">
        <v>50</v>
      </c>
      <c r="AC34" s="67">
        <v>50</v>
      </c>
      <c r="AD34" s="67">
        <v>50</v>
      </c>
      <c r="AE34" s="64"/>
      <c r="AF34" s="64"/>
      <c r="AG34" s="64">
        <v>0</v>
      </c>
      <c r="AH34" s="64">
        <v>0</v>
      </c>
      <c r="AI34" s="64">
        <v>0</v>
      </c>
      <c r="AJ34" s="64">
        <v>0</v>
      </c>
      <c r="AK34" s="64">
        <v>0</v>
      </c>
      <c r="AL34" s="64">
        <v>0</v>
      </c>
      <c r="AM34" s="66" t="s">
        <v>326</v>
      </c>
    </row>
    <row r="35" spans="1:39" ht="15" customHeight="1" x14ac:dyDescent="0.2">
      <c r="A35" s="200" t="s">
        <v>154</v>
      </c>
      <c r="B35" s="201"/>
      <c r="C35" s="202" t="s">
        <v>118</v>
      </c>
      <c r="D35" s="64">
        <v>99.6</v>
      </c>
      <c r="E35" s="64"/>
      <c r="F35" s="64"/>
      <c r="G35" s="64"/>
      <c r="H35" s="64">
        <v>95.8</v>
      </c>
      <c r="I35" s="64">
        <v>0</v>
      </c>
      <c r="J35" s="64">
        <v>0</v>
      </c>
      <c r="K35" s="64">
        <v>0</v>
      </c>
      <c r="L35" s="64">
        <v>0</v>
      </c>
      <c r="M35" s="64">
        <v>0</v>
      </c>
      <c r="N35" s="64">
        <v>0</v>
      </c>
      <c r="O35" s="64">
        <v>0</v>
      </c>
      <c r="P35" s="64">
        <v>0</v>
      </c>
      <c r="Q35" s="64">
        <v>0</v>
      </c>
      <c r="R35" s="64">
        <v>0</v>
      </c>
      <c r="S35" s="64">
        <v>0</v>
      </c>
      <c r="T35" s="64">
        <v>350</v>
      </c>
      <c r="U35" s="64"/>
      <c r="V35" s="72"/>
      <c r="W35" s="64">
        <v>10.1</v>
      </c>
      <c r="X35" s="64"/>
      <c r="Y35" s="64">
        <v>5.2</v>
      </c>
      <c r="Z35" s="64">
        <v>0</v>
      </c>
      <c r="AA35" s="64">
        <v>0</v>
      </c>
      <c r="AB35" s="64">
        <v>5</v>
      </c>
      <c r="AC35" s="64">
        <v>5</v>
      </c>
      <c r="AD35" s="64">
        <v>5</v>
      </c>
      <c r="AE35" s="64"/>
      <c r="AF35" s="64"/>
      <c r="AG35" s="64">
        <v>0</v>
      </c>
      <c r="AH35" s="64">
        <v>0</v>
      </c>
      <c r="AI35" s="64">
        <v>0</v>
      </c>
      <c r="AJ35" s="64">
        <v>0</v>
      </c>
      <c r="AK35" s="64">
        <v>0</v>
      </c>
      <c r="AL35" s="64">
        <v>0</v>
      </c>
      <c r="AM35" s="66" t="s">
        <v>326</v>
      </c>
    </row>
    <row r="36" spans="1:39" ht="15" customHeight="1" x14ac:dyDescent="0.2">
      <c r="A36" s="200" t="s">
        <v>155</v>
      </c>
      <c r="B36" s="201"/>
      <c r="C36" s="202" t="s">
        <v>121</v>
      </c>
      <c r="D36" s="64">
        <v>86.1</v>
      </c>
      <c r="E36" s="64">
        <v>21</v>
      </c>
      <c r="F36" s="64">
        <v>6.2</v>
      </c>
      <c r="G36" s="64">
        <v>1.3</v>
      </c>
      <c r="H36" s="64">
        <v>2.7</v>
      </c>
      <c r="I36" s="64">
        <v>1.52</v>
      </c>
      <c r="J36" s="64">
        <v>0.79</v>
      </c>
      <c r="K36" s="64">
        <v>0.2</v>
      </c>
      <c r="L36" s="64">
        <v>0.27999999999999997</v>
      </c>
      <c r="M36" s="64">
        <v>0.48</v>
      </c>
      <c r="N36" s="64">
        <v>0.18</v>
      </c>
      <c r="O36" s="64">
        <v>14.3</v>
      </c>
      <c r="P36" s="64">
        <v>3.8</v>
      </c>
      <c r="Q36" s="64">
        <v>24.8</v>
      </c>
      <c r="R36" s="64">
        <v>47.3</v>
      </c>
      <c r="S36" s="64">
        <v>8.8000000000000007</v>
      </c>
      <c r="T36" s="64">
        <v>2.2000000000000002</v>
      </c>
      <c r="U36" s="64">
        <v>4.2</v>
      </c>
      <c r="V36" s="72">
        <v>1.9</v>
      </c>
      <c r="W36" s="64">
        <v>1.5</v>
      </c>
      <c r="X36" s="64">
        <v>9.9</v>
      </c>
      <c r="Y36" s="64">
        <v>0.04</v>
      </c>
      <c r="Z36" s="64">
        <v>10.334728033472803</v>
      </c>
      <c r="AA36" s="64">
        <v>10.083682008368202</v>
      </c>
      <c r="AB36" s="205">
        <v>0</v>
      </c>
      <c r="AC36" s="205">
        <v>25</v>
      </c>
      <c r="AD36" s="205">
        <v>20</v>
      </c>
      <c r="AE36" s="64" t="s">
        <v>116</v>
      </c>
      <c r="AF36" s="64">
        <v>1.1000000000000001</v>
      </c>
      <c r="AG36" s="64">
        <v>0</v>
      </c>
      <c r="AH36" s="64">
        <v>0</v>
      </c>
      <c r="AI36" s="64">
        <v>0</v>
      </c>
      <c r="AJ36" s="64">
        <v>0</v>
      </c>
      <c r="AK36" s="64">
        <v>0</v>
      </c>
      <c r="AL36" s="64">
        <v>0</v>
      </c>
      <c r="AM36" s="66" t="s">
        <v>326</v>
      </c>
    </row>
    <row r="37" spans="1:39" ht="15" customHeight="1" x14ac:dyDescent="0.2">
      <c r="A37" s="202" t="s">
        <v>51</v>
      </c>
      <c r="B37" s="201"/>
      <c r="C37" s="202" t="s">
        <v>121</v>
      </c>
      <c r="D37" s="64">
        <v>87.5</v>
      </c>
      <c r="E37" s="64">
        <v>20.7</v>
      </c>
      <c r="F37" s="64">
        <v>6.1</v>
      </c>
      <c r="G37" s="64">
        <v>1.2</v>
      </c>
      <c r="H37" s="64">
        <v>3</v>
      </c>
      <c r="I37" s="64">
        <v>1.51</v>
      </c>
      <c r="J37" s="64">
        <v>0.79</v>
      </c>
      <c r="K37" s="64">
        <v>0.2</v>
      </c>
      <c r="L37" s="64">
        <v>0.27999999999999997</v>
      </c>
      <c r="M37" s="64">
        <v>0.48</v>
      </c>
      <c r="N37" s="64">
        <v>0.18</v>
      </c>
      <c r="O37" s="64">
        <v>14.3</v>
      </c>
      <c r="P37" s="64">
        <v>3.8</v>
      </c>
      <c r="Q37" s="64">
        <v>24.8</v>
      </c>
      <c r="R37" s="64">
        <v>47.3</v>
      </c>
      <c r="S37" s="64">
        <v>8.8000000000000007</v>
      </c>
      <c r="T37" s="64">
        <v>1.1000000000000001</v>
      </c>
      <c r="U37" s="64">
        <v>4.3</v>
      </c>
      <c r="V37" s="72">
        <v>2</v>
      </c>
      <c r="W37" s="64">
        <v>1.1000000000000001</v>
      </c>
      <c r="X37" s="64">
        <v>9.9</v>
      </c>
      <c r="Y37" s="64">
        <v>0.04</v>
      </c>
      <c r="Z37" s="64">
        <v>10.502092050209205</v>
      </c>
      <c r="AA37" s="64">
        <v>10.251046025104603</v>
      </c>
      <c r="AB37" s="205">
        <v>15</v>
      </c>
      <c r="AC37" s="205">
        <v>25</v>
      </c>
      <c r="AD37" s="205">
        <v>20</v>
      </c>
      <c r="AE37" s="64" t="s">
        <v>116</v>
      </c>
      <c r="AF37" s="64">
        <v>1.1000000000000001</v>
      </c>
      <c r="AG37" s="64">
        <v>1.3699999999999999</v>
      </c>
      <c r="AH37" s="64">
        <v>0.67</v>
      </c>
      <c r="AI37" s="64">
        <v>0.18</v>
      </c>
      <c r="AJ37" s="64">
        <v>0.22000000000000003</v>
      </c>
      <c r="AK37" s="64">
        <v>0.4</v>
      </c>
      <c r="AL37" s="64">
        <v>0.13999999999999999</v>
      </c>
      <c r="AM37" s="66" t="s">
        <v>326</v>
      </c>
    </row>
    <row r="38" spans="1:39" ht="15" customHeight="1" x14ac:dyDescent="0.2">
      <c r="A38" s="200" t="s">
        <v>156</v>
      </c>
      <c r="B38" s="201"/>
      <c r="C38" s="202" t="s">
        <v>157</v>
      </c>
      <c r="D38" s="64">
        <v>99.9</v>
      </c>
      <c r="E38" s="64">
        <v>0</v>
      </c>
      <c r="F38" s="64">
        <v>0</v>
      </c>
      <c r="G38" s="64">
        <v>99.6</v>
      </c>
      <c r="H38" s="64">
        <v>0.2</v>
      </c>
      <c r="I38" s="64">
        <v>0</v>
      </c>
      <c r="J38" s="64">
        <v>0</v>
      </c>
      <c r="K38" s="64">
        <v>0</v>
      </c>
      <c r="L38" s="64">
        <v>0</v>
      </c>
      <c r="M38" s="64">
        <v>0</v>
      </c>
      <c r="N38" s="64">
        <v>0</v>
      </c>
      <c r="O38" s="64">
        <v>4.8</v>
      </c>
      <c r="P38" s="64">
        <v>1.6</v>
      </c>
      <c r="Q38" s="64">
        <v>59.9</v>
      </c>
      <c r="R38" s="64">
        <v>20.399999999999999</v>
      </c>
      <c r="S38" s="64">
        <v>9.1999999999999993</v>
      </c>
      <c r="T38" s="64"/>
      <c r="U38" s="64"/>
      <c r="V38" s="72"/>
      <c r="W38" s="64"/>
      <c r="X38" s="64"/>
      <c r="Y38" s="64">
        <v>7.0000000000000007E-2</v>
      </c>
      <c r="Z38" s="64">
        <v>0</v>
      </c>
      <c r="AA38" s="64">
        <v>0</v>
      </c>
      <c r="AB38" s="64">
        <v>4</v>
      </c>
      <c r="AC38" s="64">
        <v>4</v>
      </c>
      <c r="AD38" s="64">
        <v>2</v>
      </c>
      <c r="AE38" s="64"/>
      <c r="AF38" s="64"/>
      <c r="AG38" s="64">
        <v>0</v>
      </c>
      <c r="AH38" s="64">
        <v>0</v>
      </c>
      <c r="AI38" s="64">
        <v>0</v>
      </c>
      <c r="AJ38" s="64">
        <v>0</v>
      </c>
      <c r="AK38" s="64">
        <v>0</v>
      </c>
      <c r="AL38" s="64">
        <v>0</v>
      </c>
      <c r="AM38" s="66" t="s">
        <v>122</v>
      </c>
    </row>
    <row r="39" spans="1:39" ht="15" customHeight="1" x14ac:dyDescent="0.2">
      <c r="A39" s="200" t="s">
        <v>158</v>
      </c>
      <c r="B39" s="201"/>
      <c r="C39" s="202" t="s">
        <v>121</v>
      </c>
      <c r="D39" s="64">
        <v>92.4</v>
      </c>
      <c r="E39" s="64">
        <v>18.7</v>
      </c>
      <c r="F39" s="64">
        <v>8.5</v>
      </c>
      <c r="G39" s="64">
        <v>44</v>
      </c>
      <c r="H39" s="64">
        <v>4</v>
      </c>
      <c r="I39" s="64">
        <v>1.1599999999999999</v>
      </c>
      <c r="J39" s="64">
        <v>0.89</v>
      </c>
      <c r="K39" s="64">
        <v>0.41</v>
      </c>
      <c r="L39" s="64">
        <v>0.47000000000000003</v>
      </c>
      <c r="M39" s="64">
        <v>0.88000000000000012</v>
      </c>
      <c r="N39" s="64">
        <v>0.24</v>
      </c>
      <c r="O39" s="64">
        <v>4.8</v>
      </c>
      <c r="P39" s="64">
        <v>1.6</v>
      </c>
      <c r="Q39" s="64">
        <v>59.9</v>
      </c>
      <c r="R39" s="64">
        <v>20.399999999999999</v>
      </c>
      <c r="S39" s="64">
        <v>9.1999999999999993</v>
      </c>
      <c r="T39" s="64">
        <v>4.5</v>
      </c>
      <c r="U39" s="64">
        <v>6.7</v>
      </c>
      <c r="V39" s="72">
        <v>4.7</v>
      </c>
      <c r="W39" s="64">
        <v>2.4</v>
      </c>
      <c r="X39" s="64">
        <v>7.8</v>
      </c>
      <c r="Y39" s="64">
        <v>0.06</v>
      </c>
      <c r="Z39" s="64">
        <v>14.853556485355648</v>
      </c>
      <c r="AA39" s="64">
        <v>18.284518828451883</v>
      </c>
      <c r="AB39" s="64">
        <v>5</v>
      </c>
      <c r="AC39" s="64">
        <v>5</v>
      </c>
      <c r="AD39" s="64">
        <v>5</v>
      </c>
      <c r="AE39" s="64"/>
      <c r="AF39" s="64" t="s">
        <v>116</v>
      </c>
      <c r="AG39" s="64">
        <v>0.9</v>
      </c>
      <c r="AH39" s="64">
        <v>0.67</v>
      </c>
      <c r="AI39" s="64">
        <v>0.36</v>
      </c>
      <c r="AJ39" s="64">
        <v>0.33999999999999997</v>
      </c>
      <c r="AK39" s="64">
        <v>0.7</v>
      </c>
      <c r="AL39" s="64">
        <v>0.2</v>
      </c>
      <c r="AM39" s="66" t="s">
        <v>122</v>
      </c>
    </row>
    <row r="40" spans="1:39" ht="15" customHeight="1" x14ac:dyDescent="0.2">
      <c r="A40" s="204" t="s">
        <v>53</v>
      </c>
      <c r="B40" s="201"/>
      <c r="C40" s="202" t="s">
        <v>125</v>
      </c>
      <c r="D40" s="64">
        <v>90.4</v>
      </c>
      <c r="E40" s="64">
        <v>33.4</v>
      </c>
      <c r="F40" s="64">
        <v>7.4</v>
      </c>
      <c r="G40" s="64">
        <v>12.8</v>
      </c>
      <c r="H40" s="64">
        <v>4.8</v>
      </c>
      <c r="I40" s="64">
        <v>1.31</v>
      </c>
      <c r="J40" s="64">
        <v>1.27</v>
      </c>
      <c r="K40" s="64">
        <v>0.63</v>
      </c>
      <c r="L40" s="64">
        <v>0.62</v>
      </c>
      <c r="M40" s="64">
        <v>1.24</v>
      </c>
      <c r="N40" s="64">
        <v>0.5</v>
      </c>
      <c r="O40" s="64">
        <v>5.6</v>
      </c>
      <c r="P40" s="64">
        <v>4.4000000000000004</v>
      </c>
      <c r="Q40" s="64">
        <v>20.2</v>
      </c>
      <c r="R40" s="64">
        <v>14.7</v>
      </c>
      <c r="S40" s="64">
        <v>53.8</v>
      </c>
      <c r="T40" s="64">
        <v>3.9</v>
      </c>
      <c r="U40" s="64">
        <v>8.4</v>
      </c>
      <c r="V40" s="72">
        <v>5.5</v>
      </c>
      <c r="W40" s="64">
        <v>4.7</v>
      </c>
      <c r="X40" s="64">
        <v>11.6</v>
      </c>
      <c r="Y40" s="64">
        <v>0.61</v>
      </c>
      <c r="Z40" s="64">
        <v>11.548117154811715</v>
      </c>
      <c r="AA40" s="64">
        <v>11.00418410041841</v>
      </c>
      <c r="AB40" s="64">
        <v>5</v>
      </c>
      <c r="AC40" s="64">
        <v>10</v>
      </c>
      <c r="AD40" s="64">
        <v>6</v>
      </c>
      <c r="AE40" s="64" t="s">
        <v>116</v>
      </c>
      <c r="AF40" s="64"/>
      <c r="AG40" s="64">
        <v>1.0900000000000001</v>
      </c>
      <c r="AH40" s="64">
        <v>1.01</v>
      </c>
      <c r="AI40" s="64">
        <v>0.55000000000000004</v>
      </c>
      <c r="AJ40" s="64">
        <v>0.41</v>
      </c>
      <c r="AK40" s="64">
        <v>0.96</v>
      </c>
      <c r="AL40" s="64">
        <v>0.4</v>
      </c>
      <c r="AM40" s="66" t="s">
        <v>326</v>
      </c>
    </row>
    <row r="41" spans="1:39" ht="15" customHeight="1" x14ac:dyDescent="0.2">
      <c r="A41" s="200" t="s">
        <v>159</v>
      </c>
      <c r="B41" s="201"/>
      <c r="C41" s="202" t="s">
        <v>121</v>
      </c>
      <c r="D41" s="64">
        <v>91.5</v>
      </c>
      <c r="E41" s="64">
        <v>29.700000762939453</v>
      </c>
      <c r="F41" s="64">
        <v>11.5</v>
      </c>
      <c r="G41" s="64">
        <v>14.199999809265137</v>
      </c>
      <c r="H41" s="64">
        <v>6.3000001907348633</v>
      </c>
      <c r="I41" s="64">
        <v>1.6399999618530274</v>
      </c>
      <c r="J41" s="64">
        <v>1.3</v>
      </c>
      <c r="K41" s="64">
        <v>0.6</v>
      </c>
      <c r="L41" s="64">
        <v>0.71999998092651363</v>
      </c>
      <c r="M41" s="64">
        <v>1.3199999809265137</v>
      </c>
      <c r="N41" s="64">
        <v>0.37000000476837158</v>
      </c>
      <c r="O41" s="64">
        <v>4.6999998092651367</v>
      </c>
      <c r="P41" s="64">
        <v>1.6000000238418579</v>
      </c>
      <c r="Q41" s="64">
        <v>60.400001525878906</v>
      </c>
      <c r="R41" s="64">
        <v>20</v>
      </c>
      <c r="S41" s="64">
        <v>9.1999998092651367</v>
      </c>
      <c r="T41" s="64">
        <v>7.5</v>
      </c>
      <c r="U41" s="64">
        <v>10.899999618530273</v>
      </c>
      <c r="V41" s="72">
        <v>6.5</v>
      </c>
      <c r="W41" s="64">
        <v>4.8000001907348633</v>
      </c>
      <c r="X41" s="64">
        <v>11.399999618530273</v>
      </c>
      <c r="Y41" s="64">
        <v>0.50999999046325684</v>
      </c>
      <c r="Z41" s="64">
        <v>11.087866108786612</v>
      </c>
      <c r="AA41" s="64">
        <v>9.456066945606695</v>
      </c>
      <c r="AB41" s="64">
        <v>5</v>
      </c>
      <c r="AC41" s="64">
        <v>10</v>
      </c>
      <c r="AD41" s="64">
        <v>6</v>
      </c>
      <c r="AE41" s="64"/>
      <c r="AF41" s="64"/>
      <c r="AG41" s="64">
        <v>1.2800000190734864</v>
      </c>
      <c r="AH41" s="64">
        <v>0.98000001907348633</v>
      </c>
      <c r="AI41" s="64">
        <v>0.53000001907348637</v>
      </c>
      <c r="AJ41" s="64">
        <v>0.51999998092651367</v>
      </c>
      <c r="AK41" s="64">
        <v>1.0600000381469727</v>
      </c>
      <c r="AL41" s="64">
        <v>0.3</v>
      </c>
      <c r="AM41" s="66" t="s">
        <v>326</v>
      </c>
    </row>
    <row r="42" spans="1:39" ht="15" customHeight="1" x14ac:dyDescent="0.2">
      <c r="A42" s="200" t="s">
        <v>160</v>
      </c>
      <c r="B42" s="201"/>
      <c r="C42" s="202" t="s">
        <v>161</v>
      </c>
      <c r="D42" s="64">
        <v>27.1</v>
      </c>
      <c r="E42" s="64">
        <v>13.7</v>
      </c>
      <c r="F42" s="64">
        <v>28.3</v>
      </c>
      <c r="G42" s="64">
        <v>37</v>
      </c>
      <c r="H42" s="64">
        <v>13</v>
      </c>
      <c r="I42" s="64">
        <v>0.41</v>
      </c>
      <c r="J42" s="64">
        <v>0.34</v>
      </c>
      <c r="K42" s="64">
        <v>0.16</v>
      </c>
      <c r="L42" s="64">
        <v>0.06</v>
      </c>
      <c r="M42" s="64">
        <v>0.22</v>
      </c>
      <c r="N42" s="64">
        <v>0</v>
      </c>
      <c r="O42" s="64">
        <v>0</v>
      </c>
      <c r="P42" s="64">
        <v>0</v>
      </c>
      <c r="Q42" s="64">
        <v>0</v>
      </c>
      <c r="R42" s="64">
        <v>0</v>
      </c>
      <c r="S42" s="64">
        <v>0</v>
      </c>
      <c r="T42" s="64">
        <v>9.1</v>
      </c>
      <c r="U42" s="64">
        <v>2.6</v>
      </c>
      <c r="V42" s="72"/>
      <c r="W42" s="64">
        <v>2.1</v>
      </c>
      <c r="X42" s="64">
        <v>34.1</v>
      </c>
      <c r="Y42" s="64">
        <v>0.3</v>
      </c>
      <c r="Z42" s="64">
        <v>3.2</v>
      </c>
      <c r="AA42" s="64">
        <v>0</v>
      </c>
      <c r="AB42" s="64"/>
      <c r="AC42" s="64"/>
      <c r="AD42" s="64"/>
      <c r="AE42" s="64"/>
      <c r="AF42" s="64"/>
      <c r="AG42" s="64">
        <v>0.25</v>
      </c>
      <c r="AH42" s="64">
        <v>0</v>
      </c>
      <c r="AI42" s="64">
        <v>0.1</v>
      </c>
      <c r="AJ42" s="64">
        <v>0.03</v>
      </c>
      <c r="AK42" s="64">
        <v>0</v>
      </c>
      <c r="AL42" s="64">
        <v>0</v>
      </c>
      <c r="AM42" s="66" t="s">
        <v>162</v>
      </c>
    </row>
    <row r="43" spans="1:39" ht="15" customHeight="1" x14ac:dyDescent="0.2">
      <c r="A43" s="200" t="s">
        <v>58</v>
      </c>
      <c r="B43" s="201"/>
      <c r="C43" s="202" t="s">
        <v>145</v>
      </c>
      <c r="D43" s="64">
        <v>94.800003051757813</v>
      </c>
      <c r="E43" s="64">
        <v>46.5</v>
      </c>
      <c r="F43" s="64">
        <v>1.2000000476837158</v>
      </c>
      <c r="G43" s="64">
        <v>3.5999999046325684</v>
      </c>
      <c r="H43" s="64">
        <v>2.2999999523162842</v>
      </c>
      <c r="I43" s="64">
        <v>1.4699999809265136</v>
      </c>
      <c r="J43" s="64">
        <v>1.6899999618530273</v>
      </c>
      <c r="K43" s="64">
        <v>1.3300000190734864</v>
      </c>
      <c r="L43" s="64">
        <v>1.0199999809265137</v>
      </c>
      <c r="M43" s="64">
        <v>2.35</v>
      </c>
      <c r="N43" s="64">
        <v>0.61999998092651365</v>
      </c>
      <c r="O43" s="64">
        <v>18.799999237060547</v>
      </c>
      <c r="P43" s="64">
        <v>2.0999999046325684</v>
      </c>
      <c r="Q43" s="64">
        <v>39.900001525878906</v>
      </c>
      <c r="R43" s="64">
        <v>35.799999237060547</v>
      </c>
      <c r="S43" s="64">
        <v>1.5</v>
      </c>
      <c r="T43" s="64">
        <v>1</v>
      </c>
      <c r="U43" s="64">
        <v>4.5</v>
      </c>
      <c r="V43" s="72">
        <v>3.9000000953674316</v>
      </c>
      <c r="W43" s="64">
        <v>0.40000000596046448</v>
      </c>
      <c r="X43" s="64">
        <v>0.20000000298023224</v>
      </c>
      <c r="Y43" s="64">
        <v>0.95999997854232788</v>
      </c>
      <c r="Z43" s="64">
        <v>9.4142259414225933</v>
      </c>
      <c r="AA43" s="64">
        <v>9.4142259414225933</v>
      </c>
      <c r="AB43" s="67">
        <v>5</v>
      </c>
      <c r="AC43" s="67">
        <v>5</v>
      </c>
      <c r="AD43" s="67">
        <v>5</v>
      </c>
      <c r="AE43" s="64"/>
      <c r="AF43" s="64"/>
      <c r="AG43" s="64">
        <v>0</v>
      </c>
      <c r="AH43" s="64">
        <v>0</v>
      </c>
      <c r="AI43" s="64">
        <v>0</v>
      </c>
      <c r="AJ43" s="64">
        <v>0</v>
      </c>
      <c r="AK43" s="64">
        <v>0</v>
      </c>
      <c r="AL43" s="64">
        <v>0</v>
      </c>
      <c r="AM43" s="66" t="s">
        <v>326</v>
      </c>
    </row>
    <row r="44" spans="1:39" ht="15" customHeight="1" x14ac:dyDescent="0.2">
      <c r="A44" s="200" t="s">
        <v>163</v>
      </c>
      <c r="B44" s="201" t="s">
        <v>164</v>
      </c>
      <c r="C44" s="203" t="s">
        <v>111</v>
      </c>
      <c r="D44" s="64">
        <v>84.2</v>
      </c>
      <c r="E44" s="64">
        <v>9.3000000000000007</v>
      </c>
      <c r="F44" s="64">
        <v>2.1</v>
      </c>
      <c r="G44" s="64">
        <v>1.1000000000000001</v>
      </c>
      <c r="H44" s="64">
        <v>1.7</v>
      </c>
      <c r="I44" s="69">
        <v>0.35</v>
      </c>
      <c r="J44" s="69">
        <v>0.32</v>
      </c>
      <c r="K44" s="69">
        <v>0.15</v>
      </c>
      <c r="L44" s="69">
        <v>0.21</v>
      </c>
      <c r="M44" s="69">
        <v>0.36</v>
      </c>
      <c r="N44" s="69">
        <v>0.08</v>
      </c>
      <c r="O44" s="64">
        <v>14.9</v>
      </c>
      <c r="P44" s="64">
        <v>0.8</v>
      </c>
      <c r="Q44" s="64">
        <v>18.100000000000001</v>
      </c>
      <c r="R44" s="64">
        <v>57.7</v>
      </c>
      <c r="S44" s="64">
        <v>7.1</v>
      </c>
      <c r="T44" s="64">
        <v>0.06</v>
      </c>
      <c r="U44" s="64">
        <v>0.28999999999999998</v>
      </c>
      <c r="V44" s="72">
        <v>1.9</v>
      </c>
      <c r="W44" s="64">
        <v>1</v>
      </c>
      <c r="X44" s="64">
        <v>4.4000000000000004</v>
      </c>
      <c r="Y44" s="64">
        <v>0.03</v>
      </c>
      <c r="Z44" s="64">
        <v>11.087866108786612</v>
      </c>
      <c r="AA44" s="64">
        <v>9.497907949790795</v>
      </c>
      <c r="AB44" s="67">
        <v>15</v>
      </c>
      <c r="AC44" s="67">
        <v>15</v>
      </c>
      <c r="AD44" s="67">
        <v>25</v>
      </c>
      <c r="AE44" s="64" t="s">
        <v>116</v>
      </c>
      <c r="AF44" s="64" t="s">
        <v>116</v>
      </c>
      <c r="AG44" s="64">
        <v>0.25</v>
      </c>
      <c r="AH44" s="64">
        <v>0.16999999999999998</v>
      </c>
      <c r="AI44" s="64">
        <v>0.12</v>
      </c>
      <c r="AJ44" s="64">
        <v>0.12</v>
      </c>
      <c r="AK44" s="64">
        <v>0.24</v>
      </c>
      <c r="AL44" s="64">
        <v>0.04</v>
      </c>
      <c r="AM44" s="66" t="s">
        <v>326</v>
      </c>
    </row>
    <row r="45" spans="1:39" ht="15" customHeight="1" x14ac:dyDescent="0.2">
      <c r="A45" s="204" t="s">
        <v>165</v>
      </c>
      <c r="B45" s="201"/>
      <c r="C45" s="202" t="s">
        <v>125</v>
      </c>
      <c r="D45" s="64">
        <v>93.599998474121094</v>
      </c>
      <c r="E45" s="64">
        <v>43.200000762939453</v>
      </c>
      <c r="F45" s="64">
        <v>6.5999999046325684</v>
      </c>
      <c r="G45" s="64">
        <v>14.300000190734863</v>
      </c>
      <c r="H45" s="64">
        <v>8.6000003814697266</v>
      </c>
      <c r="I45" s="64">
        <v>1.0100000381469727</v>
      </c>
      <c r="J45" s="64">
        <v>1.2800000190734864</v>
      </c>
      <c r="K45" s="64">
        <v>1.1100000381469726</v>
      </c>
      <c r="L45" s="64">
        <v>0.76999998092651367</v>
      </c>
      <c r="M45" s="64">
        <v>1.8799999237060547</v>
      </c>
      <c r="N45" s="64">
        <v>0.48000001907348633</v>
      </c>
      <c r="O45" s="64">
        <v>8.8000001907348633</v>
      </c>
      <c r="P45" s="64">
        <v>4.9000000953674316</v>
      </c>
      <c r="Q45" s="64">
        <v>38.900001525878906</v>
      </c>
      <c r="R45" s="64">
        <v>43.700000762939453</v>
      </c>
      <c r="S45" s="64">
        <v>0.40000000596046448</v>
      </c>
      <c r="T45" s="64">
        <v>18.700000762939453</v>
      </c>
      <c r="U45" s="64">
        <v>11.5</v>
      </c>
      <c r="V45" s="72">
        <v>8.6000003814697266</v>
      </c>
      <c r="W45" s="64">
        <v>5.5999999046325684</v>
      </c>
      <c r="X45" s="64">
        <v>9.6999998092651367</v>
      </c>
      <c r="Y45" s="64">
        <v>5.9999998658895493E-2</v>
      </c>
      <c r="Z45" s="64">
        <v>11.673640167364017</v>
      </c>
      <c r="AA45" s="64">
        <v>11.087866108786612</v>
      </c>
      <c r="AB45" s="65">
        <v>10</v>
      </c>
      <c r="AC45" s="65">
        <v>15</v>
      </c>
      <c r="AD45" s="65">
        <v>15</v>
      </c>
      <c r="AE45" s="64"/>
      <c r="AF45" s="64"/>
      <c r="AG45" s="64">
        <v>0.81000003814697263</v>
      </c>
      <c r="AH45" s="64">
        <v>0.98000001907348633</v>
      </c>
      <c r="AI45" s="64">
        <v>0.98000001907348633</v>
      </c>
      <c r="AJ45" s="64">
        <v>0.53000001907348637</v>
      </c>
      <c r="AK45" s="64">
        <v>1.5100000381469727</v>
      </c>
      <c r="AL45" s="64">
        <v>0.4</v>
      </c>
      <c r="AM45" s="66" t="s">
        <v>326</v>
      </c>
    </row>
    <row r="46" spans="1:39" ht="15" customHeight="1" x14ac:dyDescent="0.2">
      <c r="A46" s="200" t="s">
        <v>56</v>
      </c>
      <c r="B46" s="201"/>
      <c r="C46" s="202" t="s">
        <v>118</v>
      </c>
      <c r="D46" s="64">
        <v>99.6</v>
      </c>
      <c r="E46" s="64">
        <v>0</v>
      </c>
      <c r="F46" s="64">
        <v>0</v>
      </c>
      <c r="G46" s="64">
        <v>0</v>
      </c>
      <c r="H46" s="64">
        <v>99.3</v>
      </c>
      <c r="I46" s="64">
        <v>0</v>
      </c>
      <c r="J46" s="64">
        <v>0</v>
      </c>
      <c r="K46" s="64">
        <v>0</v>
      </c>
      <c r="L46" s="64">
        <v>0</v>
      </c>
      <c r="M46" s="64">
        <v>0</v>
      </c>
      <c r="N46" s="64">
        <v>0</v>
      </c>
      <c r="O46" s="64">
        <v>0</v>
      </c>
      <c r="P46" s="64">
        <v>0</v>
      </c>
      <c r="Q46" s="64">
        <v>0</v>
      </c>
      <c r="R46" s="64">
        <v>0</v>
      </c>
      <c r="S46" s="64"/>
      <c r="T46" s="64">
        <v>0</v>
      </c>
      <c r="U46" s="64">
        <v>0</v>
      </c>
      <c r="V46" s="72"/>
      <c r="W46" s="64">
        <v>0</v>
      </c>
      <c r="X46" s="64"/>
      <c r="Y46" s="64">
        <v>380</v>
      </c>
      <c r="Z46" s="64">
        <v>0</v>
      </c>
      <c r="AA46" s="64">
        <v>0</v>
      </c>
      <c r="AB46" s="67">
        <v>5</v>
      </c>
      <c r="AC46" s="67">
        <v>5</v>
      </c>
      <c r="AD46" s="67">
        <v>5</v>
      </c>
      <c r="AE46" s="64"/>
      <c r="AF46" s="64"/>
      <c r="AG46" s="64"/>
      <c r="AH46" s="64"/>
      <c r="AI46" s="64"/>
      <c r="AJ46" s="64"/>
      <c r="AK46" s="64"/>
      <c r="AL46" s="64"/>
      <c r="AM46" s="66" t="s">
        <v>326</v>
      </c>
    </row>
    <row r="47" spans="1:39" ht="15" customHeight="1" x14ac:dyDescent="0.2">
      <c r="A47" s="200" t="s">
        <v>166</v>
      </c>
      <c r="B47" s="201" t="s">
        <v>167</v>
      </c>
      <c r="C47" s="203" t="s">
        <v>111</v>
      </c>
      <c r="D47" s="64">
        <v>87.699996948242188</v>
      </c>
      <c r="E47" s="64">
        <v>9</v>
      </c>
      <c r="F47" s="64">
        <v>3.5</v>
      </c>
      <c r="G47" s="64">
        <v>2.9000000953674316</v>
      </c>
      <c r="H47" s="64">
        <v>1.8999999761581421</v>
      </c>
      <c r="I47" s="64">
        <v>2.2000000476837158</v>
      </c>
      <c r="J47" s="64">
        <v>3</v>
      </c>
      <c r="K47" s="64">
        <v>1.5</v>
      </c>
      <c r="L47" s="64">
        <v>1.7000000476837158</v>
      </c>
      <c r="M47" s="64">
        <v>3.2000000476837158</v>
      </c>
      <c r="N47" s="64">
        <v>0.89999997615814209</v>
      </c>
      <c r="O47" s="64">
        <v>14.300000190734863</v>
      </c>
      <c r="P47" s="64">
        <v>1.7000000476837158</v>
      </c>
      <c r="Q47" s="64">
        <v>38.200000762939453</v>
      </c>
      <c r="R47" s="64">
        <v>42.200000762939453</v>
      </c>
      <c r="S47" s="64">
        <v>1.7999999523162842</v>
      </c>
      <c r="T47" s="64">
        <v>0.30000001192092896</v>
      </c>
      <c r="U47" s="64">
        <v>3</v>
      </c>
      <c r="V47" s="72">
        <v>2.0999999046325684</v>
      </c>
      <c r="W47" s="64">
        <v>1.5</v>
      </c>
      <c r="X47" s="64">
        <v>3.5999999046325684</v>
      </c>
      <c r="Y47" s="64">
        <v>0.15999999642372131</v>
      </c>
      <c r="Z47" s="64">
        <v>13.723849372384937</v>
      </c>
      <c r="AA47" s="64">
        <v>13.472803347280335</v>
      </c>
      <c r="AB47" s="64">
        <v>15</v>
      </c>
      <c r="AC47" s="64">
        <v>65</v>
      </c>
      <c r="AD47" s="64">
        <v>70</v>
      </c>
      <c r="AE47" s="64"/>
      <c r="AF47" s="64"/>
      <c r="AG47" s="64">
        <v>0.18999999761581421</v>
      </c>
      <c r="AH47" s="64">
        <v>0.25</v>
      </c>
      <c r="AI47" s="64">
        <v>0.12999999523162842</v>
      </c>
      <c r="AJ47" s="64">
        <v>0.1600000023841858</v>
      </c>
      <c r="AK47" s="64">
        <v>0.29000000953674315</v>
      </c>
      <c r="AL47" s="64">
        <v>8.0000001192092898E-2</v>
      </c>
      <c r="AM47" s="66" t="s">
        <v>326</v>
      </c>
    </row>
    <row r="48" spans="1:39" ht="15" customHeight="1" x14ac:dyDescent="0.2">
      <c r="A48" s="200" t="s">
        <v>324</v>
      </c>
      <c r="B48" s="201"/>
      <c r="C48" s="202" t="s">
        <v>121</v>
      </c>
      <c r="D48" s="64">
        <v>88.199996948242188</v>
      </c>
      <c r="E48" s="64">
        <v>35.700000762939453</v>
      </c>
      <c r="F48" s="64">
        <v>6.3000001907348633</v>
      </c>
      <c r="G48" s="64">
        <v>18.600000381469727</v>
      </c>
      <c r="H48" s="64">
        <v>4.5999999046325684</v>
      </c>
      <c r="I48" s="64">
        <v>2.2200000762939451</v>
      </c>
      <c r="J48" s="64">
        <v>1.4399999618530273</v>
      </c>
      <c r="K48" s="64">
        <v>0.51999998092651367</v>
      </c>
      <c r="L48" s="64">
        <v>0.53000001907348637</v>
      </c>
      <c r="M48" s="64">
        <v>1.0399999618530273</v>
      </c>
      <c r="N48" s="64">
        <v>0.45</v>
      </c>
      <c r="O48" s="64">
        <v>11.199999809265137</v>
      </c>
      <c r="P48" s="64">
        <v>3.7999999523162842</v>
      </c>
      <c r="Q48" s="64">
        <v>23.100000381469727</v>
      </c>
      <c r="R48" s="64">
        <v>54</v>
      </c>
      <c r="S48" s="64">
        <v>7.1999998092651367</v>
      </c>
      <c r="T48" s="64">
        <v>2.9000000953674316</v>
      </c>
      <c r="U48" s="64">
        <v>5.4000000953674316</v>
      </c>
      <c r="V48" s="72">
        <v>3.2999999523162842</v>
      </c>
      <c r="W48" s="64">
        <v>2</v>
      </c>
      <c r="X48" s="64">
        <v>16.600000000000001</v>
      </c>
      <c r="Y48" s="64">
        <v>0.06</v>
      </c>
      <c r="Z48" s="64">
        <v>0</v>
      </c>
      <c r="AA48" s="64">
        <v>0</v>
      </c>
      <c r="AB48" s="64">
        <v>15</v>
      </c>
      <c r="AC48" s="64">
        <v>20</v>
      </c>
      <c r="AD48" s="64">
        <v>20</v>
      </c>
      <c r="AE48" s="64"/>
      <c r="AF48" s="64"/>
      <c r="AG48" s="64">
        <v>0</v>
      </c>
      <c r="AH48" s="64">
        <v>0</v>
      </c>
      <c r="AI48" s="64">
        <v>0</v>
      </c>
      <c r="AJ48" s="64">
        <v>0</v>
      </c>
      <c r="AK48" s="64">
        <v>0</v>
      </c>
      <c r="AL48" s="64">
        <v>0</v>
      </c>
      <c r="AM48" s="66" t="s">
        <v>326</v>
      </c>
    </row>
    <row r="49" spans="1:39" ht="15" customHeight="1" x14ac:dyDescent="0.2">
      <c r="A49" s="200" t="s">
        <v>168</v>
      </c>
      <c r="B49" s="201"/>
      <c r="C49" s="202" t="s">
        <v>121</v>
      </c>
      <c r="D49" s="64">
        <v>90.699996948242188</v>
      </c>
      <c r="E49" s="64">
        <v>37.599998474121094</v>
      </c>
      <c r="F49" s="64">
        <v>4.1999998092651367</v>
      </c>
      <c r="G49" s="64">
        <v>17.5</v>
      </c>
      <c r="H49" s="64">
        <v>5.1999998092651367</v>
      </c>
      <c r="I49" s="64">
        <v>2.3399999618530272</v>
      </c>
      <c r="J49" s="64">
        <v>1.5100000381469727</v>
      </c>
      <c r="K49" s="64">
        <v>0.54000000953674321</v>
      </c>
      <c r="L49" s="64">
        <v>0.55999999046325688</v>
      </c>
      <c r="M49" s="64">
        <v>1.1000000000000001</v>
      </c>
      <c r="N49" s="64">
        <v>0.48000001907348633</v>
      </c>
      <c r="O49" s="64">
        <v>11.199999809265137</v>
      </c>
      <c r="P49" s="64">
        <v>3.7999999523162842</v>
      </c>
      <c r="Q49" s="64">
        <v>23.100000381469727</v>
      </c>
      <c r="R49" s="64">
        <v>54</v>
      </c>
      <c r="S49" s="64">
        <v>7.1999998092651367</v>
      </c>
      <c r="T49" s="64">
        <v>3</v>
      </c>
      <c r="U49" s="64">
        <v>5.5</v>
      </c>
      <c r="V49" s="72">
        <v>3.2999999523162842</v>
      </c>
      <c r="W49" s="64">
        <v>2.2999999523162842</v>
      </c>
      <c r="X49" s="64">
        <v>18.3</v>
      </c>
      <c r="Y49" s="64">
        <v>0.05</v>
      </c>
      <c r="Z49" s="64">
        <v>13.263598326359833</v>
      </c>
      <c r="AA49" s="64">
        <v>12.887029288702928</v>
      </c>
      <c r="AB49" s="67">
        <v>15</v>
      </c>
      <c r="AC49" s="67">
        <v>20</v>
      </c>
      <c r="AD49" s="67">
        <v>20</v>
      </c>
      <c r="AE49" s="67"/>
      <c r="AF49" s="64"/>
      <c r="AG49" s="64">
        <v>1.9899999618530273</v>
      </c>
      <c r="AH49" s="64">
        <v>1.1600000381469726</v>
      </c>
      <c r="AI49" s="64">
        <v>0.45999999046325685</v>
      </c>
      <c r="AJ49" s="64">
        <v>0.37999999523162842</v>
      </c>
      <c r="AK49" s="64">
        <v>0.83999996185302739</v>
      </c>
      <c r="AL49" s="64">
        <v>0.35999999046325681</v>
      </c>
      <c r="AM49" s="66" t="s">
        <v>326</v>
      </c>
    </row>
    <row r="50" spans="1:39" ht="15" customHeight="1" x14ac:dyDescent="0.2">
      <c r="A50" s="200" t="s">
        <v>55</v>
      </c>
      <c r="B50" s="201"/>
      <c r="C50" s="202" t="s">
        <v>121</v>
      </c>
      <c r="D50" s="64" t="s">
        <v>169</v>
      </c>
      <c r="E50" s="64">
        <v>35.700000000000003</v>
      </c>
      <c r="F50" s="64">
        <v>5.8</v>
      </c>
      <c r="G50" s="64">
        <v>19.7</v>
      </c>
      <c r="H50" s="64">
        <v>4.9000000000000004</v>
      </c>
      <c r="I50" s="64">
        <v>2.2199999999999998</v>
      </c>
      <c r="J50" s="64">
        <v>1.44</v>
      </c>
      <c r="K50" s="64">
        <v>0.52</v>
      </c>
      <c r="L50" s="64">
        <v>0.53</v>
      </c>
      <c r="M50" s="64">
        <v>1.04</v>
      </c>
      <c r="N50" s="64">
        <v>0.45</v>
      </c>
      <c r="O50" s="64">
        <v>10.5</v>
      </c>
      <c r="P50" s="64">
        <v>3.8</v>
      </c>
      <c r="Q50" s="64">
        <v>21.7</v>
      </c>
      <c r="R50" s="64">
        <v>53.1</v>
      </c>
      <c r="S50" s="64">
        <v>7.4</v>
      </c>
      <c r="T50" s="64">
        <v>3</v>
      </c>
      <c r="U50" s="64">
        <v>5.3</v>
      </c>
      <c r="V50" s="72">
        <v>3.2</v>
      </c>
      <c r="W50" s="64">
        <v>2.2000000000000002</v>
      </c>
      <c r="X50" s="64">
        <v>17.5</v>
      </c>
      <c r="Y50" s="64">
        <v>0.06</v>
      </c>
      <c r="Z50" s="64">
        <v>13.891213389121338</v>
      </c>
      <c r="AA50" s="64">
        <v>14.267782426778243</v>
      </c>
      <c r="AB50" s="64">
        <v>15</v>
      </c>
      <c r="AC50" s="64">
        <v>20</v>
      </c>
      <c r="AD50" s="64">
        <v>20</v>
      </c>
      <c r="AE50" s="64"/>
      <c r="AF50" s="64"/>
      <c r="AG50" s="64">
        <v>1.89</v>
      </c>
      <c r="AH50" s="64">
        <v>1.1099999999999999</v>
      </c>
      <c r="AI50" s="64">
        <v>0.43</v>
      </c>
      <c r="AJ50" s="64">
        <v>0.36</v>
      </c>
      <c r="AK50" s="64">
        <v>0.79</v>
      </c>
      <c r="AL50" s="64">
        <v>0.33999999999999997</v>
      </c>
      <c r="AM50" s="66" t="s">
        <v>122</v>
      </c>
    </row>
    <row r="51" spans="1:39" ht="15" customHeight="1" x14ac:dyDescent="0.2">
      <c r="A51" s="200" t="s">
        <v>170</v>
      </c>
      <c r="B51" s="201"/>
      <c r="C51" s="202" t="s">
        <v>157</v>
      </c>
      <c r="D51" s="64">
        <v>99.8</v>
      </c>
      <c r="E51" s="64">
        <v>0</v>
      </c>
      <c r="F51" s="64">
        <v>0</v>
      </c>
      <c r="G51" s="64">
        <v>99.7</v>
      </c>
      <c r="H51" s="64">
        <v>0</v>
      </c>
      <c r="I51" s="64">
        <v>0</v>
      </c>
      <c r="J51" s="64">
        <v>0</v>
      </c>
      <c r="K51" s="64">
        <v>0</v>
      </c>
      <c r="L51" s="64">
        <v>0</v>
      </c>
      <c r="M51" s="64">
        <v>0</v>
      </c>
      <c r="N51" s="64">
        <v>0</v>
      </c>
      <c r="O51" s="64">
        <v>10.5</v>
      </c>
      <c r="P51" s="64">
        <v>3.8</v>
      </c>
      <c r="Q51" s="64">
        <v>21.7</v>
      </c>
      <c r="R51" s="64">
        <v>53.1</v>
      </c>
      <c r="S51" s="64">
        <v>7.4</v>
      </c>
      <c r="T51" s="64"/>
      <c r="U51" s="64">
        <v>0</v>
      </c>
      <c r="V51" s="72">
        <v>0</v>
      </c>
      <c r="W51" s="64">
        <v>0</v>
      </c>
      <c r="X51" s="64">
        <v>0.2</v>
      </c>
      <c r="Y51" s="64">
        <v>0.08</v>
      </c>
      <c r="Z51" s="64">
        <v>0</v>
      </c>
      <c r="AA51" s="64">
        <v>37.573221757322173</v>
      </c>
      <c r="AB51" s="64">
        <v>4</v>
      </c>
      <c r="AC51" s="64">
        <v>4</v>
      </c>
      <c r="AD51" s="64">
        <v>3</v>
      </c>
      <c r="AE51" s="64"/>
      <c r="AF51" s="64"/>
      <c r="AG51" s="64">
        <v>0</v>
      </c>
      <c r="AH51" s="64">
        <v>0</v>
      </c>
      <c r="AI51" s="64">
        <v>0</v>
      </c>
      <c r="AJ51" s="64">
        <v>0</v>
      </c>
      <c r="AK51" s="64">
        <v>0</v>
      </c>
      <c r="AL51" s="64">
        <v>0</v>
      </c>
      <c r="AM51" s="66" t="s">
        <v>122</v>
      </c>
    </row>
    <row r="52" spans="1:39" ht="15" customHeight="1" x14ac:dyDescent="0.2">
      <c r="A52" s="200" t="s">
        <v>54</v>
      </c>
      <c r="B52" s="201"/>
      <c r="C52" s="202" t="s">
        <v>125</v>
      </c>
      <c r="D52" s="64">
        <v>94.400001525878906</v>
      </c>
      <c r="E52" s="64">
        <v>46.200000762939453</v>
      </c>
      <c r="F52" s="64">
        <v>5.9000000953674316</v>
      </c>
      <c r="G52" s="64">
        <v>8.6999998092651367</v>
      </c>
      <c r="H52" s="64">
        <v>6.1999998092651367</v>
      </c>
      <c r="I52" s="64">
        <v>2.6</v>
      </c>
      <c r="J52" s="64">
        <v>1.7899999618530273</v>
      </c>
      <c r="K52" s="64">
        <v>0.65999999046325686</v>
      </c>
      <c r="L52" s="64">
        <v>0.70999999046325679</v>
      </c>
      <c r="M52" s="64">
        <v>1.3800000190734862</v>
      </c>
      <c r="N52" s="64">
        <v>0.63000001907348635</v>
      </c>
      <c r="O52" s="64">
        <v>11.199999809265137</v>
      </c>
      <c r="P52" s="64">
        <v>3.7999999523162842</v>
      </c>
      <c r="Q52" s="64">
        <v>23.100000381469727</v>
      </c>
      <c r="R52" s="64">
        <v>54</v>
      </c>
      <c r="S52" s="64">
        <v>7.1999998092651367</v>
      </c>
      <c r="T52" s="64">
        <v>3.5</v>
      </c>
      <c r="U52" s="64">
        <v>6.5999999046325684</v>
      </c>
      <c r="V52" s="72">
        <v>3.9000000953674316</v>
      </c>
      <c r="W52" s="64">
        <v>2.7999999523162842</v>
      </c>
      <c r="X52" s="64">
        <v>21.200000762939453</v>
      </c>
      <c r="Y52" s="64">
        <v>0</v>
      </c>
      <c r="Z52" s="64">
        <v>12.00836820083682</v>
      </c>
      <c r="AA52" s="64">
        <v>11.548117154811715</v>
      </c>
      <c r="AB52" s="65">
        <v>100</v>
      </c>
      <c r="AC52" s="65">
        <v>100</v>
      </c>
      <c r="AD52" s="65">
        <v>100</v>
      </c>
      <c r="AE52" s="64"/>
      <c r="AF52" s="64">
        <v>1.3999999761581421</v>
      </c>
      <c r="AG52" s="64">
        <v>2.2899999618530273</v>
      </c>
      <c r="AH52" s="64">
        <v>1.4899999618530273</v>
      </c>
      <c r="AI52" s="64">
        <v>0.59000000953674314</v>
      </c>
      <c r="AJ52" s="64">
        <v>0.54000000953674321</v>
      </c>
      <c r="AK52" s="64">
        <v>1.1300000190734862</v>
      </c>
      <c r="AL52" s="64">
        <v>0.55999999046325688</v>
      </c>
      <c r="AM52" s="66" t="s">
        <v>326</v>
      </c>
    </row>
    <row r="53" spans="1:39" ht="15" customHeight="1" x14ac:dyDescent="0.2">
      <c r="A53" s="200" t="s">
        <v>171</v>
      </c>
      <c r="B53" s="201"/>
      <c r="C53" s="202" t="s">
        <v>125</v>
      </c>
      <c r="D53" s="64">
        <v>92.599998474121094</v>
      </c>
      <c r="E53" s="64">
        <v>42</v>
      </c>
      <c r="F53" s="64">
        <v>6.0999999046325684</v>
      </c>
      <c r="G53" s="64">
        <v>8.8999996185302734</v>
      </c>
      <c r="H53" s="64">
        <v>6</v>
      </c>
      <c r="I53" s="64">
        <v>2.3700000762939455</v>
      </c>
      <c r="J53" s="64">
        <v>1.65</v>
      </c>
      <c r="K53" s="64">
        <v>0.6</v>
      </c>
      <c r="L53" s="64">
        <v>0.64000000953674319</v>
      </c>
      <c r="M53" s="64">
        <v>1.2399999618530273</v>
      </c>
      <c r="N53" s="64">
        <v>0.55999999046325688</v>
      </c>
      <c r="O53" s="64">
        <v>11.199999809265137</v>
      </c>
      <c r="P53" s="64">
        <v>3.7999999523162842</v>
      </c>
      <c r="Q53" s="64">
        <v>23.100000381469727</v>
      </c>
      <c r="R53" s="64">
        <v>54</v>
      </c>
      <c r="S53" s="64">
        <v>7.1999998092651367</v>
      </c>
      <c r="T53" s="64">
        <v>3.4000000953674316</v>
      </c>
      <c r="U53" s="64">
        <v>6.4000000953674316</v>
      </c>
      <c r="V53" s="72">
        <v>3.7999999523162842</v>
      </c>
      <c r="W53" s="64">
        <v>2.7000000476837158</v>
      </c>
      <c r="X53" s="64">
        <v>20.5</v>
      </c>
      <c r="Y53" s="64">
        <v>0.01</v>
      </c>
      <c r="Z53" s="64">
        <v>11.757322175732218</v>
      </c>
      <c r="AA53" s="64">
        <v>11.297071129707113</v>
      </c>
      <c r="AB53" s="64">
        <v>100</v>
      </c>
      <c r="AC53" s="64">
        <v>100</v>
      </c>
      <c r="AD53" s="64">
        <v>100</v>
      </c>
      <c r="AE53" s="64"/>
      <c r="AF53" s="64">
        <v>1.3999999761581421</v>
      </c>
      <c r="AG53" s="64">
        <v>2.0799999237060547</v>
      </c>
      <c r="AH53" s="64">
        <v>1.3699999809265138</v>
      </c>
      <c r="AI53" s="64">
        <v>0.54000000953674321</v>
      </c>
      <c r="AJ53" s="64">
        <v>0.48000001907348633</v>
      </c>
      <c r="AK53" s="64">
        <v>1.0199999809265137</v>
      </c>
      <c r="AL53" s="64">
        <v>0.5</v>
      </c>
      <c r="AM53" s="66" t="s">
        <v>326</v>
      </c>
    </row>
    <row r="54" spans="1:39" ht="15" customHeight="1" x14ac:dyDescent="0.2">
      <c r="A54" s="200" t="s">
        <v>172</v>
      </c>
      <c r="B54" s="201"/>
      <c r="C54" s="203" t="s">
        <v>111</v>
      </c>
      <c r="D54" s="64">
        <v>86.900001525878906</v>
      </c>
      <c r="E54" s="64">
        <v>9.8999996185302734</v>
      </c>
      <c r="F54" s="64">
        <v>11.100000381469727</v>
      </c>
      <c r="G54" s="64">
        <v>1.2999999523162842</v>
      </c>
      <c r="H54" s="64">
        <v>2.7000000476837158</v>
      </c>
      <c r="I54" s="64">
        <v>3</v>
      </c>
      <c r="J54" s="64">
        <v>3</v>
      </c>
      <c r="K54" s="64">
        <v>1.6000000238418579</v>
      </c>
      <c r="L54" s="64">
        <v>2.2999999523162842</v>
      </c>
      <c r="M54" s="64">
        <v>3.9000000953674316</v>
      </c>
      <c r="N54" s="64">
        <v>1.2000000476837158</v>
      </c>
      <c r="O54" s="64">
        <v>17.799999237060547</v>
      </c>
      <c r="P54" s="64">
        <v>0.80000001192092896</v>
      </c>
      <c r="Q54" s="64">
        <v>15.199999809265137</v>
      </c>
      <c r="R54" s="64">
        <v>56.400001525878906</v>
      </c>
      <c r="S54" s="64">
        <v>5.9000000953674316</v>
      </c>
      <c r="T54" s="64">
        <v>0.80000001192092896</v>
      </c>
      <c r="U54" s="64">
        <v>3.7000000476837158</v>
      </c>
      <c r="V54" s="72">
        <v>2.4000000953674316</v>
      </c>
      <c r="W54" s="64">
        <v>1.6000000238418579</v>
      </c>
      <c r="X54" s="64">
        <v>1.8999999761581421</v>
      </c>
      <c r="Y54" s="64">
        <v>0.10999999940395355</v>
      </c>
      <c r="Z54" s="64">
        <v>10.627615062761507</v>
      </c>
      <c r="AA54" s="64">
        <v>10.167364016736402</v>
      </c>
      <c r="AB54" s="64"/>
      <c r="AC54" s="64"/>
      <c r="AD54" s="64"/>
      <c r="AE54" s="64"/>
      <c r="AF54" s="64"/>
      <c r="AG54" s="64">
        <v>0</v>
      </c>
      <c r="AH54" s="64">
        <v>0</v>
      </c>
      <c r="AI54" s="64">
        <v>0</v>
      </c>
      <c r="AJ54" s="64">
        <v>0</v>
      </c>
      <c r="AK54" s="64">
        <v>0</v>
      </c>
      <c r="AL54" s="64">
        <v>0</v>
      </c>
      <c r="AM54" s="66" t="s">
        <v>326</v>
      </c>
    </row>
    <row r="55" spans="1:39" ht="15" customHeight="1" x14ac:dyDescent="0.2">
      <c r="A55" s="200" t="s">
        <v>173</v>
      </c>
      <c r="B55" s="201"/>
      <c r="C55" s="202" t="s">
        <v>121</v>
      </c>
      <c r="D55" s="64">
        <v>93.599998474121094</v>
      </c>
      <c r="E55" s="64">
        <v>15.199999809265137</v>
      </c>
      <c r="F55" s="64">
        <v>14.399999618530273</v>
      </c>
      <c r="G55" s="64">
        <v>45.099998474121094</v>
      </c>
      <c r="H55" s="64">
        <v>3.0999999046325684</v>
      </c>
      <c r="I55" s="64">
        <v>0.61999998092651365</v>
      </c>
      <c r="J55" s="64">
        <v>0.58000001907348631</v>
      </c>
      <c r="K55" s="64">
        <v>0.35</v>
      </c>
      <c r="L55" s="64">
        <v>0.2700000047683716</v>
      </c>
      <c r="M55" s="64">
        <v>0.60999999046325681</v>
      </c>
      <c r="N55" s="64">
        <v>0.20999999046325685</v>
      </c>
      <c r="O55" s="64">
        <v>6.4000000953674316</v>
      </c>
      <c r="P55" s="64">
        <v>4.3000001907348633</v>
      </c>
      <c r="Q55" s="64">
        <v>20.200000762939453</v>
      </c>
      <c r="R55" s="64">
        <v>65.199996948242188</v>
      </c>
      <c r="S55" s="64">
        <v>0.30000001192092896</v>
      </c>
      <c r="T55" s="64">
        <v>2.5999999046325684</v>
      </c>
      <c r="U55" s="64">
        <v>5.0999999046325684</v>
      </c>
      <c r="V55" s="72">
        <v>4.3000001907348633</v>
      </c>
      <c r="W55" s="64">
        <v>2.7000000476837158</v>
      </c>
      <c r="X55" s="64">
        <v>7.7</v>
      </c>
      <c r="Y55" s="64">
        <v>0.05</v>
      </c>
      <c r="Z55" s="64">
        <v>18.535564853556487</v>
      </c>
      <c r="AA55" s="64">
        <v>17.489539748953973</v>
      </c>
      <c r="AB55" s="67">
        <v>5</v>
      </c>
      <c r="AC55" s="67">
        <v>5</v>
      </c>
      <c r="AD55" s="67">
        <v>5</v>
      </c>
      <c r="AE55" s="64"/>
      <c r="AF55" s="64"/>
      <c r="AG55" s="70">
        <v>0</v>
      </c>
      <c r="AH55" s="70">
        <v>0</v>
      </c>
      <c r="AI55" s="70">
        <v>0</v>
      </c>
      <c r="AJ55" s="70">
        <v>0</v>
      </c>
      <c r="AK55" s="70">
        <v>0</v>
      </c>
      <c r="AL55" s="70">
        <v>0</v>
      </c>
      <c r="AM55" s="66" t="s">
        <v>326</v>
      </c>
    </row>
    <row r="56" spans="1:39" ht="15" customHeight="1" x14ac:dyDescent="0.2">
      <c r="A56" s="204" t="s">
        <v>174</v>
      </c>
      <c r="B56" s="201"/>
      <c r="C56" s="202" t="s">
        <v>125</v>
      </c>
      <c r="D56" s="64">
        <v>93.8</v>
      </c>
      <c r="E56" s="64">
        <v>33.700000000000003</v>
      </c>
      <c r="F56" s="64">
        <v>18.5</v>
      </c>
      <c r="G56" s="64">
        <v>8.8000000000000007</v>
      </c>
      <c r="H56" s="64">
        <v>6.2</v>
      </c>
      <c r="I56" s="64">
        <v>1.21</v>
      </c>
      <c r="J56" s="64">
        <v>1.22</v>
      </c>
      <c r="K56" s="64">
        <v>0.76</v>
      </c>
      <c r="L56" s="64">
        <v>0.57000000000000006</v>
      </c>
      <c r="M56" s="64">
        <v>1.3199999999999998</v>
      </c>
      <c r="N56" s="64">
        <v>0.43</v>
      </c>
      <c r="O56" s="64">
        <v>6.3</v>
      </c>
      <c r="P56" s="64">
        <v>4.3</v>
      </c>
      <c r="Q56" s="64">
        <v>20.3</v>
      </c>
      <c r="R56" s="64">
        <v>64.900000000000006</v>
      </c>
      <c r="S56" s="64">
        <v>0.3</v>
      </c>
      <c r="T56" s="64">
        <v>3.9</v>
      </c>
      <c r="U56" s="64">
        <v>9.9</v>
      </c>
      <c r="V56" s="72">
        <v>8.4</v>
      </c>
      <c r="W56" s="64">
        <v>4.9000000000000004</v>
      </c>
      <c r="X56" s="64">
        <v>13.2</v>
      </c>
      <c r="Y56" s="64">
        <v>0</v>
      </c>
      <c r="Z56" s="64">
        <v>7.2803347280334725</v>
      </c>
      <c r="AA56" s="64">
        <v>6.9037656903765692</v>
      </c>
      <c r="AB56" s="64">
        <v>8</v>
      </c>
      <c r="AC56" s="64">
        <v>20</v>
      </c>
      <c r="AD56" s="64">
        <v>15</v>
      </c>
      <c r="AE56" s="64"/>
      <c r="AF56" s="64"/>
      <c r="AG56" s="64">
        <v>0.99</v>
      </c>
      <c r="AH56" s="64">
        <v>0.91999999999999993</v>
      </c>
      <c r="AI56" s="64">
        <v>0.69000000000000006</v>
      </c>
      <c r="AJ56" s="64">
        <v>0.39</v>
      </c>
      <c r="AK56" s="64">
        <v>1.0900000000000001</v>
      </c>
      <c r="AL56" s="64">
        <v>0.36</v>
      </c>
      <c r="AM56" s="66" t="s">
        <v>122</v>
      </c>
    </row>
    <row r="57" spans="1:39" ht="15" customHeight="1" x14ac:dyDescent="0.2">
      <c r="A57" s="200" t="s">
        <v>175</v>
      </c>
      <c r="B57" s="201"/>
      <c r="C57" s="202" t="s">
        <v>125</v>
      </c>
      <c r="D57" s="64">
        <v>94.199996948242188</v>
      </c>
      <c r="E57" s="64">
        <v>33.299999237060547</v>
      </c>
      <c r="F57" s="64">
        <v>18.899999618530273</v>
      </c>
      <c r="G57" s="64">
        <v>8.6000003814697266</v>
      </c>
      <c r="H57" s="64">
        <v>6</v>
      </c>
      <c r="I57" s="64">
        <v>1.2</v>
      </c>
      <c r="J57" s="64">
        <v>1.2</v>
      </c>
      <c r="K57" s="64">
        <v>0.75</v>
      </c>
      <c r="L57" s="64">
        <v>0.55999999046325688</v>
      </c>
      <c r="M57" s="64">
        <v>1.3100000381469727</v>
      </c>
      <c r="N57" s="64">
        <v>0.41999998092651369</v>
      </c>
      <c r="O57" s="64">
        <v>6.4000000953674316</v>
      </c>
      <c r="P57" s="64">
        <v>4.3000001907348633</v>
      </c>
      <c r="Q57" s="64">
        <v>20.200000762939453</v>
      </c>
      <c r="R57" s="64">
        <v>65.199996948242188</v>
      </c>
      <c r="S57" s="64">
        <v>0.30000001192092896</v>
      </c>
      <c r="T57" s="64">
        <v>3.9000000953674316</v>
      </c>
      <c r="U57" s="64">
        <v>9.6999998092651367</v>
      </c>
      <c r="V57" s="72">
        <v>8.3000001907348633</v>
      </c>
      <c r="W57" s="64">
        <v>4.8000001907348633</v>
      </c>
      <c r="X57" s="64">
        <v>14.1</v>
      </c>
      <c r="Y57" s="64">
        <v>0.12</v>
      </c>
      <c r="Z57" s="64">
        <v>10.0418410041841</v>
      </c>
      <c r="AA57" s="64">
        <v>9.6652719665271967</v>
      </c>
      <c r="AB57" s="64">
        <v>8</v>
      </c>
      <c r="AC57" s="64">
        <v>20</v>
      </c>
      <c r="AD57" s="64">
        <v>15</v>
      </c>
      <c r="AE57" s="64"/>
      <c r="AF57" s="64">
        <v>1.7000000476837158</v>
      </c>
      <c r="AG57" s="64">
        <v>0.98000001907348633</v>
      </c>
      <c r="AH57" s="64">
        <v>0.91000003814697261</v>
      </c>
      <c r="AI57" s="64">
        <v>0.69000000953674312</v>
      </c>
      <c r="AJ57" s="64">
        <v>0.40999999046325686</v>
      </c>
      <c r="AK57" s="64">
        <v>1.1000000000000001</v>
      </c>
      <c r="AL57" s="64">
        <v>0.35999999046325681</v>
      </c>
      <c r="AM57" s="66" t="s">
        <v>326</v>
      </c>
    </row>
    <row r="58" spans="1:39" ht="15" customHeight="1" x14ac:dyDescent="0.2">
      <c r="A58" s="200" t="s">
        <v>52</v>
      </c>
      <c r="B58" s="201"/>
      <c r="C58" s="202" t="s">
        <v>125</v>
      </c>
      <c r="D58" s="64">
        <v>92.300003051757813</v>
      </c>
      <c r="E58" s="64">
        <v>24.100000381469727</v>
      </c>
      <c r="F58" s="64">
        <v>24.600000381469727</v>
      </c>
      <c r="G58" s="64">
        <v>14.899999618530273</v>
      </c>
      <c r="H58" s="64">
        <v>5.3000001907348633</v>
      </c>
      <c r="I58" s="64">
        <v>0.9</v>
      </c>
      <c r="J58" s="64">
        <v>0.88999996185302732</v>
      </c>
      <c r="K58" s="64">
        <v>0.54000000953674321</v>
      </c>
      <c r="L58" s="64">
        <v>0.40999999046325686</v>
      </c>
      <c r="M58" s="64">
        <v>0.96000003814697266</v>
      </c>
      <c r="N58" s="64">
        <v>0.30999999046325682</v>
      </c>
      <c r="O58" s="64">
        <v>6.4000000953674316</v>
      </c>
      <c r="P58" s="64">
        <v>4.3000001907348633</v>
      </c>
      <c r="Q58" s="64">
        <v>20.200000762939453</v>
      </c>
      <c r="R58" s="64">
        <v>65.199996948242188</v>
      </c>
      <c r="S58" s="64">
        <v>0.30000001192092896</v>
      </c>
      <c r="T58" s="64">
        <v>3.5999999046325684</v>
      </c>
      <c r="U58" s="64">
        <v>8.5</v>
      </c>
      <c r="V58" s="72">
        <v>7.1999998092651367</v>
      </c>
      <c r="W58" s="64">
        <v>4.1999998092651367</v>
      </c>
      <c r="X58" s="64">
        <v>12.5</v>
      </c>
      <c r="Y58" s="64">
        <v>0.01</v>
      </c>
      <c r="Z58" s="64">
        <v>10.418410041841005</v>
      </c>
      <c r="AA58" s="64">
        <v>9.7907949790794984</v>
      </c>
      <c r="AB58" s="65">
        <v>8</v>
      </c>
      <c r="AC58" s="65">
        <v>20</v>
      </c>
      <c r="AD58" s="65">
        <v>15</v>
      </c>
      <c r="AE58" s="65"/>
      <c r="AF58" s="64">
        <v>1.3999999761581421</v>
      </c>
      <c r="AG58" s="64">
        <v>0.74000000953674316</v>
      </c>
      <c r="AH58" s="64">
        <v>0.66999998092651369</v>
      </c>
      <c r="AI58" s="64">
        <v>0.5</v>
      </c>
      <c r="AJ58" s="64">
        <v>0.3</v>
      </c>
      <c r="AK58" s="64">
        <v>0.8</v>
      </c>
      <c r="AL58" s="64">
        <v>0.25999999046325684</v>
      </c>
      <c r="AM58" s="66" t="s">
        <v>326</v>
      </c>
    </row>
    <row r="59" spans="1:39" ht="15" customHeight="1" x14ac:dyDescent="0.2">
      <c r="A59" s="200" t="s">
        <v>176</v>
      </c>
      <c r="B59" s="201"/>
      <c r="C59" s="202" t="s">
        <v>157</v>
      </c>
      <c r="D59" s="64">
        <v>99.3</v>
      </c>
      <c r="E59" s="64">
        <v>0</v>
      </c>
      <c r="F59" s="64">
        <v>0</v>
      </c>
      <c r="G59" s="64">
        <v>99.5</v>
      </c>
      <c r="H59" s="64">
        <v>0.05</v>
      </c>
      <c r="I59" s="64">
        <v>0</v>
      </c>
      <c r="J59" s="64">
        <v>0</v>
      </c>
      <c r="K59" s="64">
        <v>0</v>
      </c>
      <c r="L59" s="64">
        <v>0</v>
      </c>
      <c r="M59" s="64">
        <v>0</v>
      </c>
      <c r="N59" s="64">
        <v>0</v>
      </c>
      <c r="O59" s="64">
        <v>6.3</v>
      </c>
      <c r="P59" s="64">
        <v>4.3</v>
      </c>
      <c r="Q59" s="64">
        <v>20.3</v>
      </c>
      <c r="R59" s="64">
        <v>64.900000000000006</v>
      </c>
      <c r="S59" s="64">
        <v>0.3</v>
      </c>
      <c r="T59" s="64">
        <v>0</v>
      </c>
      <c r="U59" s="64">
        <v>0</v>
      </c>
      <c r="V59" s="72">
        <v>0</v>
      </c>
      <c r="W59" s="64">
        <v>0</v>
      </c>
      <c r="X59" s="64">
        <v>0</v>
      </c>
      <c r="Y59" s="64">
        <v>0.08</v>
      </c>
      <c r="Z59" s="64">
        <v>0</v>
      </c>
      <c r="AA59" s="64">
        <v>37.405857740585773</v>
      </c>
      <c r="AB59" s="64">
        <v>4</v>
      </c>
      <c r="AC59" s="64">
        <v>4</v>
      </c>
      <c r="AD59" s="64">
        <v>3</v>
      </c>
      <c r="AE59" s="64"/>
      <c r="AF59" s="64"/>
      <c r="AG59" s="64">
        <v>0</v>
      </c>
      <c r="AH59" s="64">
        <v>0</v>
      </c>
      <c r="AI59" s="64">
        <v>0</v>
      </c>
      <c r="AJ59" s="64">
        <v>0</v>
      </c>
      <c r="AK59" s="64">
        <v>0</v>
      </c>
      <c r="AL59" s="64">
        <v>0</v>
      </c>
      <c r="AM59" s="66" t="s">
        <v>122</v>
      </c>
    </row>
    <row r="60" spans="1:39" ht="15" customHeight="1" x14ac:dyDescent="0.2">
      <c r="A60" s="200" t="s">
        <v>177</v>
      </c>
      <c r="B60" s="201" t="s">
        <v>178</v>
      </c>
      <c r="C60" s="203" t="s">
        <v>111</v>
      </c>
      <c r="D60" s="64">
        <v>87</v>
      </c>
      <c r="E60" s="64">
        <v>10.9</v>
      </c>
      <c r="F60" s="64">
        <v>2.9</v>
      </c>
      <c r="G60" s="64">
        <v>1.5</v>
      </c>
      <c r="H60" s="64">
        <v>1.7</v>
      </c>
      <c r="I60" s="64">
        <v>0.43</v>
      </c>
      <c r="J60" s="64">
        <v>0.36</v>
      </c>
      <c r="K60" s="64">
        <v>0.19</v>
      </c>
      <c r="L60" s="64">
        <v>0.28999999999999998</v>
      </c>
      <c r="M60" s="64">
        <v>0.47000000000000003</v>
      </c>
      <c r="N60" s="64">
        <v>0.13999999999999999</v>
      </c>
      <c r="O60" s="64">
        <v>17</v>
      </c>
      <c r="P60" s="64">
        <v>0.9</v>
      </c>
      <c r="Q60" s="64">
        <v>13.5</v>
      </c>
      <c r="R60" s="64">
        <v>60.8</v>
      </c>
      <c r="S60" s="64">
        <v>7.1</v>
      </c>
      <c r="T60" s="64">
        <v>0.6</v>
      </c>
      <c r="U60" s="64">
        <v>3.3</v>
      </c>
      <c r="V60" s="72">
        <v>2.5</v>
      </c>
      <c r="W60" s="64">
        <v>1.1000000000000001</v>
      </c>
      <c r="X60" s="64">
        <v>5</v>
      </c>
      <c r="Y60" s="64">
        <v>0.06</v>
      </c>
      <c r="Z60" s="64">
        <v>12.259414225941423</v>
      </c>
      <c r="AA60" s="64">
        <v>11.715481171548117</v>
      </c>
      <c r="AB60" s="64">
        <v>40</v>
      </c>
      <c r="AC60" s="64">
        <v>40</v>
      </c>
      <c r="AD60" s="64">
        <v>40</v>
      </c>
      <c r="AE60" s="64"/>
      <c r="AF60" s="64">
        <v>2.2000000000000002</v>
      </c>
      <c r="AG60" s="64">
        <v>0.32</v>
      </c>
      <c r="AH60" s="64">
        <v>0.26</v>
      </c>
      <c r="AI60" s="64">
        <v>0.16</v>
      </c>
      <c r="AJ60" s="64">
        <v>0.19</v>
      </c>
      <c r="AK60" s="64">
        <v>0.35</v>
      </c>
      <c r="AL60" s="64">
        <v>0.1</v>
      </c>
      <c r="AM60" s="66" t="s">
        <v>326</v>
      </c>
    </row>
    <row r="61" spans="1:39" ht="15" customHeight="1" x14ac:dyDescent="0.2">
      <c r="A61" s="200" t="s">
        <v>179</v>
      </c>
      <c r="B61" s="201" t="s">
        <v>180</v>
      </c>
      <c r="C61" s="203" t="s">
        <v>111</v>
      </c>
      <c r="D61" s="64">
        <v>87</v>
      </c>
      <c r="E61" s="64">
        <v>7.9</v>
      </c>
      <c r="F61" s="64">
        <v>2.9</v>
      </c>
      <c r="G61" s="64">
        <v>1.5</v>
      </c>
      <c r="H61" s="64">
        <v>1.7</v>
      </c>
      <c r="I61" s="64">
        <v>0.31</v>
      </c>
      <c r="J61" s="64">
        <v>0.26</v>
      </c>
      <c r="K61" s="64">
        <v>0.13999999999999999</v>
      </c>
      <c r="L61" s="64">
        <v>0.21000000000000002</v>
      </c>
      <c r="M61" s="64">
        <v>0.33999999999999997</v>
      </c>
      <c r="N61" s="64">
        <v>0.1</v>
      </c>
      <c r="O61" s="64">
        <v>17</v>
      </c>
      <c r="P61" s="64">
        <v>0.9</v>
      </c>
      <c r="Q61" s="64">
        <v>13.5</v>
      </c>
      <c r="R61" s="64">
        <v>60.8</v>
      </c>
      <c r="S61" s="64">
        <v>7.1</v>
      </c>
      <c r="T61" s="64">
        <v>0.6</v>
      </c>
      <c r="U61" s="64">
        <v>3.3</v>
      </c>
      <c r="V61" s="72">
        <v>2.5</v>
      </c>
      <c r="W61" s="64">
        <v>1.1000000000000001</v>
      </c>
      <c r="X61" s="64">
        <v>5</v>
      </c>
      <c r="Y61" s="64">
        <v>0.06</v>
      </c>
      <c r="Z61" s="64">
        <v>13.723849372384937</v>
      </c>
      <c r="AA61" s="64">
        <v>13.472803347280335</v>
      </c>
      <c r="AB61" s="64">
        <v>40</v>
      </c>
      <c r="AC61" s="64">
        <v>40</v>
      </c>
      <c r="AD61" s="64">
        <v>40</v>
      </c>
      <c r="AE61" s="64"/>
      <c r="AF61" s="64">
        <v>2.2000000000000002</v>
      </c>
      <c r="AG61" s="64">
        <v>0.32</v>
      </c>
      <c r="AH61" s="64">
        <v>0.26</v>
      </c>
      <c r="AI61" s="64">
        <v>0.16</v>
      </c>
      <c r="AJ61" s="64">
        <v>0.19</v>
      </c>
      <c r="AK61" s="64">
        <v>0.35</v>
      </c>
      <c r="AL61" s="64">
        <v>0.1</v>
      </c>
      <c r="AM61" s="66" t="s">
        <v>326</v>
      </c>
    </row>
    <row r="62" spans="1:39" ht="15" customHeight="1" x14ac:dyDescent="0.2">
      <c r="A62" s="200" t="s">
        <v>181</v>
      </c>
      <c r="B62" s="201" t="s">
        <v>182</v>
      </c>
      <c r="C62" s="203" t="s">
        <v>111</v>
      </c>
      <c r="D62" s="64">
        <v>87</v>
      </c>
      <c r="E62" s="64">
        <v>8.9</v>
      </c>
      <c r="F62" s="64">
        <v>2.9</v>
      </c>
      <c r="G62" s="64">
        <v>1.5</v>
      </c>
      <c r="H62" s="64">
        <v>1.7</v>
      </c>
      <c r="I62" s="64">
        <v>0.35</v>
      </c>
      <c r="J62" s="64">
        <v>0.3</v>
      </c>
      <c r="K62" s="64">
        <v>0.15</v>
      </c>
      <c r="L62" s="64">
        <v>0.22999999999999998</v>
      </c>
      <c r="M62" s="64">
        <v>0.39</v>
      </c>
      <c r="N62" s="64">
        <v>0.12</v>
      </c>
      <c r="O62" s="64">
        <v>17</v>
      </c>
      <c r="P62" s="64">
        <v>0.9</v>
      </c>
      <c r="Q62" s="64">
        <v>13.5</v>
      </c>
      <c r="R62" s="64">
        <v>60.8</v>
      </c>
      <c r="S62" s="64">
        <v>7.1</v>
      </c>
      <c r="T62" s="64">
        <v>0.6</v>
      </c>
      <c r="U62" s="64">
        <v>3.3</v>
      </c>
      <c r="V62" s="72">
        <v>2.5</v>
      </c>
      <c r="W62" s="64">
        <v>1.1000000000000001</v>
      </c>
      <c r="X62" s="64">
        <v>5</v>
      </c>
      <c r="Y62" s="64">
        <v>0.06</v>
      </c>
      <c r="Z62" s="64">
        <v>13.723849372384937</v>
      </c>
      <c r="AA62" s="64">
        <v>13.472803347280335</v>
      </c>
      <c r="AB62" s="64">
        <v>40</v>
      </c>
      <c r="AC62" s="64">
        <v>40</v>
      </c>
      <c r="AD62" s="64">
        <v>40</v>
      </c>
      <c r="AE62" s="64"/>
      <c r="AF62" s="64">
        <v>2.2000000000000002</v>
      </c>
      <c r="AG62" s="64">
        <v>0.32</v>
      </c>
      <c r="AH62" s="64">
        <v>0.26</v>
      </c>
      <c r="AI62" s="64">
        <v>0.16</v>
      </c>
      <c r="AJ62" s="64">
        <v>0.19</v>
      </c>
      <c r="AK62" s="64">
        <v>0.35</v>
      </c>
      <c r="AL62" s="64">
        <v>0.1</v>
      </c>
      <c r="AM62" s="66" t="s">
        <v>326</v>
      </c>
    </row>
    <row r="63" spans="1:39" ht="15" customHeight="1" x14ac:dyDescent="0.2">
      <c r="A63" s="200" t="s">
        <v>49</v>
      </c>
      <c r="B63" s="201" t="s">
        <v>183</v>
      </c>
      <c r="C63" s="203" t="s">
        <v>111</v>
      </c>
      <c r="D63" s="64">
        <v>87</v>
      </c>
      <c r="E63" s="64">
        <v>9.9</v>
      </c>
      <c r="F63" s="64">
        <v>2.9</v>
      </c>
      <c r="G63" s="64">
        <v>1.5</v>
      </c>
      <c r="H63" s="64">
        <v>1.7</v>
      </c>
      <c r="I63" s="64">
        <v>0.39</v>
      </c>
      <c r="J63" s="64">
        <v>0.32999999999999996</v>
      </c>
      <c r="K63" s="64">
        <v>0.16999999999999998</v>
      </c>
      <c r="L63" s="64">
        <v>0.26</v>
      </c>
      <c r="M63" s="64">
        <v>0.43</v>
      </c>
      <c r="N63" s="64">
        <v>0.13</v>
      </c>
      <c r="O63" s="64">
        <v>17</v>
      </c>
      <c r="P63" s="64">
        <v>0.9</v>
      </c>
      <c r="Q63" s="64">
        <v>13.5</v>
      </c>
      <c r="R63" s="64">
        <v>60.8</v>
      </c>
      <c r="S63" s="64">
        <v>7.1</v>
      </c>
      <c r="T63" s="64">
        <v>0.6</v>
      </c>
      <c r="U63" s="64">
        <v>3.3</v>
      </c>
      <c r="V63" s="72">
        <v>2.5</v>
      </c>
      <c r="W63" s="64">
        <v>1.1000000000000001</v>
      </c>
      <c r="X63" s="64">
        <v>5</v>
      </c>
      <c r="Y63" s="64">
        <v>0.06</v>
      </c>
      <c r="Z63" s="64">
        <v>12.259414225941423</v>
      </c>
      <c r="AA63" s="64">
        <v>11.715481171548117</v>
      </c>
      <c r="AB63" s="67">
        <v>40</v>
      </c>
      <c r="AC63" s="67">
        <v>70</v>
      </c>
      <c r="AD63" s="67">
        <v>40</v>
      </c>
      <c r="AE63" s="64" t="s">
        <v>116</v>
      </c>
      <c r="AF63" s="64">
        <v>2.2000000000000002</v>
      </c>
      <c r="AG63" s="64">
        <v>0.32</v>
      </c>
      <c r="AH63" s="64">
        <v>0.26</v>
      </c>
      <c r="AI63" s="64">
        <v>0.16</v>
      </c>
      <c r="AJ63" s="64">
        <v>0.19</v>
      </c>
      <c r="AK63" s="64">
        <v>0.35</v>
      </c>
      <c r="AL63" s="64">
        <v>0.1</v>
      </c>
      <c r="AM63" s="66" t="s">
        <v>326</v>
      </c>
    </row>
    <row r="64" spans="1:39" ht="15" customHeight="1" x14ac:dyDescent="0.2">
      <c r="A64" s="200" t="s">
        <v>184</v>
      </c>
      <c r="B64" s="201"/>
      <c r="C64" s="202" t="s">
        <v>121</v>
      </c>
      <c r="D64" s="64">
        <v>90.900001525878906</v>
      </c>
      <c r="E64" s="64">
        <v>27.200000762939453</v>
      </c>
      <c r="F64" s="64">
        <v>5.9000000953674316</v>
      </c>
      <c r="G64" s="64">
        <v>1</v>
      </c>
      <c r="H64" s="64">
        <v>2.9000000953674316</v>
      </c>
      <c r="I64" s="64">
        <v>1.75</v>
      </c>
      <c r="J64" s="64">
        <v>1.0199999809265137</v>
      </c>
      <c r="K64" s="64">
        <v>0.22000000476837159</v>
      </c>
      <c r="L64" s="64">
        <v>0.44000000953674318</v>
      </c>
      <c r="M64" s="64">
        <v>0.65999999046325686</v>
      </c>
      <c r="N64" s="64">
        <v>0.24000000953674316</v>
      </c>
      <c r="O64" s="64">
        <v>19.899999618530273</v>
      </c>
      <c r="P64" s="64">
        <v>4.8000001907348633</v>
      </c>
      <c r="Q64" s="64">
        <v>8.8999996185302734</v>
      </c>
      <c r="R64" s="64">
        <v>61.5</v>
      </c>
      <c r="S64" s="64">
        <v>2.5999999046325684</v>
      </c>
      <c r="T64" s="64">
        <v>4.8</v>
      </c>
      <c r="U64" s="64">
        <v>4.3</v>
      </c>
      <c r="V64" s="72">
        <v>1.9</v>
      </c>
      <c r="W64" s="64">
        <v>1.4</v>
      </c>
      <c r="X64" s="64">
        <v>9.6</v>
      </c>
      <c r="Y64" s="64">
        <v>0</v>
      </c>
      <c r="Z64" s="71">
        <v>9.539748953974895</v>
      </c>
      <c r="AA64" s="71">
        <v>9.2887029288702934</v>
      </c>
      <c r="AB64" s="205">
        <v>5</v>
      </c>
      <c r="AC64" s="205">
        <v>5</v>
      </c>
      <c r="AD64" s="205">
        <v>0</v>
      </c>
      <c r="AE64" s="64"/>
      <c r="AF64" s="64"/>
      <c r="AG64" s="64">
        <v>0</v>
      </c>
      <c r="AH64" s="64">
        <v>0</v>
      </c>
      <c r="AI64" s="64">
        <v>0</v>
      </c>
      <c r="AJ64" s="64">
        <v>0</v>
      </c>
      <c r="AK64" s="64">
        <v>0</v>
      </c>
      <c r="AL64" s="64">
        <v>0</v>
      </c>
      <c r="AM64" s="66" t="s">
        <v>326</v>
      </c>
    </row>
    <row r="65" spans="1:39" ht="15" customHeight="1" x14ac:dyDescent="0.2">
      <c r="A65" s="200" t="s">
        <v>185</v>
      </c>
      <c r="B65" s="201"/>
      <c r="C65" s="202" t="s">
        <v>105</v>
      </c>
      <c r="D65" s="64">
        <v>19.3</v>
      </c>
      <c r="E65" s="64">
        <v>23</v>
      </c>
      <c r="F65" s="64">
        <v>25.4</v>
      </c>
      <c r="G65" s="64">
        <v>2.5</v>
      </c>
      <c r="H65" s="64">
        <v>9.8000000000000007</v>
      </c>
      <c r="I65" s="64">
        <v>0.53</v>
      </c>
      <c r="J65" s="64">
        <v>0.57999999999999996</v>
      </c>
      <c r="K65" s="64">
        <v>0.09</v>
      </c>
      <c r="L65" s="64">
        <v>0</v>
      </c>
      <c r="M65" s="64">
        <v>0</v>
      </c>
      <c r="N65" s="64">
        <v>0</v>
      </c>
      <c r="O65" s="64"/>
      <c r="P65" s="64"/>
      <c r="Q65" s="64"/>
      <c r="R65" s="64"/>
      <c r="S65" s="64"/>
      <c r="T65" s="64">
        <v>12</v>
      </c>
      <c r="U65" s="64">
        <v>4.4000000000000004</v>
      </c>
      <c r="V65" s="72"/>
      <c r="W65" s="64"/>
      <c r="X65" s="64"/>
      <c r="Y65" s="64"/>
      <c r="Z65" s="64">
        <v>0</v>
      </c>
      <c r="AA65" s="64">
        <v>0</v>
      </c>
      <c r="AB65" s="64"/>
      <c r="AC65" s="64"/>
      <c r="AD65" s="64"/>
      <c r="AE65" s="64"/>
      <c r="AF65" s="64"/>
      <c r="AG65" s="64"/>
      <c r="AH65" s="64"/>
      <c r="AI65" s="64"/>
      <c r="AJ65" s="64"/>
      <c r="AK65" s="64"/>
      <c r="AL65" s="64"/>
      <c r="AM65" s="66" t="s">
        <v>186</v>
      </c>
    </row>
    <row r="66" spans="1:39" ht="15" customHeight="1" x14ac:dyDescent="0.2">
      <c r="A66" s="200" t="s">
        <v>187</v>
      </c>
      <c r="B66" s="201" t="s">
        <v>188</v>
      </c>
      <c r="C66" s="203" t="s">
        <v>111</v>
      </c>
      <c r="D66" s="64">
        <v>86.9</v>
      </c>
      <c r="E66" s="64">
        <v>10.9</v>
      </c>
      <c r="F66" s="64">
        <v>2.4</v>
      </c>
      <c r="G66" s="64">
        <v>1.4</v>
      </c>
      <c r="H66" s="64">
        <v>1.5</v>
      </c>
      <c r="I66" s="64">
        <v>0.31</v>
      </c>
      <c r="J66" s="64">
        <v>0.32999999999999996</v>
      </c>
      <c r="K66" s="64">
        <v>0.18</v>
      </c>
      <c r="L66" s="64">
        <v>0.25</v>
      </c>
      <c r="M66" s="64">
        <v>0.42000000000000004</v>
      </c>
      <c r="N66" s="64">
        <v>0.13</v>
      </c>
      <c r="O66" s="64">
        <v>1.8</v>
      </c>
      <c r="P66" s="64">
        <v>0.08</v>
      </c>
      <c r="Q66" s="64">
        <v>1.6</v>
      </c>
      <c r="R66" s="64">
        <v>5.8</v>
      </c>
      <c r="S66" s="64">
        <v>0.6</v>
      </c>
      <c r="T66" s="64">
        <v>0.6</v>
      </c>
      <c r="U66" s="64">
        <v>3.1</v>
      </c>
      <c r="V66" s="72">
        <v>2</v>
      </c>
      <c r="W66" s="64">
        <v>1</v>
      </c>
      <c r="X66" s="64">
        <v>4</v>
      </c>
      <c r="Y66" s="64">
        <v>0.05</v>
      </c>
      <c r="Z66" s="64">
        <v>6.6945606694560666</v>
      </c>
      <c r="AA66" s="64">
        <v>6.6108786610878658</v>
      </c>
      <c r="AB66" s="67">
        <v>40</v>
      </c>
      <c r="AC66" s="67">
        <v>70</v>
      </c>
      <c r="AD66" s="67">
        <v>70</v>
      </c>
      <c r="AE66" s="64">
        <v>1</v>
      </c>
      <c r="AF66" s="64" t="s">
        <v>116</v>
      </c>
      <c r="AG66" s="64">
        <v>0.26</v>
      </c>
      <c r="AH66" s="64">
        <v>0.27</v>
      </c>
      <c r="AI66" s="64">
        <v>0.16</v>
      </c>
      <c r="AJ66" s="64">
        <v>0.21000000000000002</v>
      </c>
      <c r="AK66" s="64">
        <v>0.36</v>
      </c>
      <c r="AL66" s="64">
        <v>0.11000000000000001</v>
      </c>
      <c r="AM66" s="66" t="s">
        <v>326</v>
      </c>
    </row>
    <row r="67" spans="1:39" ht="15" customHeight="1" x14ac:dyDescent="0.2">
      <c r="A67" s="200" t="s">
        <v>189</v>
      </c>
      <c r="B67" s="201" t="s">
        <v>190</v>
      </c>
      <c r="C67" s="203" t="s">
        <v>111</v>
      </c>
      <c r="D67" s="64">
        <v>86.9</v>
      </c>
      <c r="E67" s="64">
        <v>11.5</v>
      </c>
      <c r="F67" s="64">
        <v>2.4</v>
      </c>
      <c r="G67" s="64">
        <v>1.4</v>
      </c>
      <c r="H67" s="64">
        <v>1.5</v>
      </c>
      <c r="I67" s="64">
        <v>0.33999999999999997</v>
      </c>
      <c r="J67" s="64">
        <v>0.36</v>
      </c>
      <c r="K67" s="64">
        <v>0.2</v>
      </c>
      <c r="L67" s="64">
        <v>0.27</v>
      </c>
      <c r="M67" s="64">
        <v>0.45999999999999996</v>
      </c>
      <c r="N67" s="64">
        <v>0.13999999999999999</v>
      </c>
      <c r="O67" s="64">
        <v>1.8</v>
      </c>
      <c r="P67" s="64">
        <v>0.08</v>
      </c>
      <c r="Q67" s="64">
        <v>1.6</v>
      </c>
      <c r="R67" s="64">
        <v>5.8</v>
      </c>
      <c r="S67" s="64">
        <v>0.6</v>
      </c>
      <c r="T67" s="64">
        <v>0.6</v>
      </c>
      <c r="U67" s="64">
        <v>3.1</v>
      </c>
      <c r="V67" s="72">
        <v>2</v>
      </c>
      <c r="W67" s="64">
        <v>1</v>
      </c>
      <c r="X67" s="64">
        <v>4</v>
      </c>
      <c r="Y67" s="64">
        <v>0.05</v>
      </c>
      <c r="Z67" s="64">
        <v>6.6945606694560666</v>
      </c>
      <c r="AA67" s="64">
        <v>6.6108786610878658</v>
      </c>
      <c r="AB67" s="67">
        <v>40</v>
      </c>
      <c r="AC67" s="67">
        <v>70</v>
      </c>
      <c r="AD67" s="67">
        <v>70</v>
      </c>
      <c r="AE67" s="64"/>
      <c r="AF67" s="64"/>
      <c r="AG67" s="64">
        <v>0.26</v>
      </c>
      <c r="AH67" s="64">
        <v>0.27</v>
      </c>
      <c r="AI67" s="64">
        <v>0.16</v>
      </c>
      <c r="AJ67" s="64">
        <v>0.21000000000000002</v>
      </c>
      <c r="AK67" s="64">
        <v>0.36</v>
      </c>
      <c r="AL67" s="64">
        <v>0.11000000000000001</v>
      </c>
      <c r="AM67" s="66" t="s">
        <v>326</v>
      </c>
    </row>
    <row r="68" spans="1:39" ht="15" customHeight="1" x14ac:dyDescent="0.2">
      <c r="A68" s="200" t="s">
        <v>191</v>
      </c>
      <c r="B68" s="201" t="s">
        <v>192</v>
      </c>
      <c r="C68" s="203" t="s">
        <v>111</v>
      </c>
      <c r="D68" s="64">
        <v>86.9</v>
      </c>
      <c r="E68" s="64">
        <v>9.5</v>
      </c>
      <c r="F68" s="64">
        <v>2.4</v>
      </c>
      <c r="G68" s="64">
        <v>1.4</v>
      </c>
      <c r="H68" s="64">
        <v>1.5</v>
      </c>
      <c r="I68" s="64">
        <v>0.27999999999999997</v>
      </c>
      <c r="J68" s="64">
        <v>0.3</v>
      </c>
      <c r="K68" s="64">
        <v>0.16</v>
      </c>
      <c r="L68" s="64">
        <v>0.22999999999999998</v>
      </c>
      <c r="M68" s="64">
        <v>0.38</v>
      </c>
      <c r="N68" s="64">
        <v>0.12</v>
      </c>
      <c r="O68" s="64">
        <v>1.8</v>
      </c>
      <c r="P68" s="64">
        <v>0.08</v>
      </c>
      <c r="Q68" s="64">
        <v>1.6</v>
      </c>
      <c r="R68" s="64">
        <v>5.8</v>
      </c>
      <c r="S68" s="64">
        <v>0.6</v>
      </c>
      <c r="T68" s="64">
        <v>0.6</v>
      </c>
      <c r="U68" s="64">
        <v>3.1</v>
      </c>
      <c r="V68" s="72">
        <v>2</v>
      </c>
      <c r="W68" s="64">
        <v>1</v>
      </c>
      <c r="X68" s="64">
        <v>4</v>
      </c>
      <c r="Y68" s="64">
        <v>0.05</v>
      </c>
      <c r="Z68" s="64">
        <v>6.6945606694560666</v>
      </c>
      <c r="AA68" s="64">
        <v>6.6108786610878658</v>
      </c>
      <c r="AB68" s="67">
        <v>40</v>
      </c>
      <c r="AC68" s="67">
        <v>70</v>
      </c>
      <c r="AD68" s="67">
        <v>70</v>
      </c>
      <c r="AE68" s="64"/>
      <c r="AF68" s="64"/>
      <c r="AG68" s="64">
        <v>0.26</v>
      </c>
      <c r="AH68" s="64">
        <v>0.27</v>
      </c>
      <c r="AI68" s="64">
        <v>0.16</v>
      </c>
      <c r="AJ68" s="64">
        <v>0.21000000000000002</v>
      </c>
      <c r="AK68" s="64">
        <v>0.36</v>
      </c>
      <c r="AL68" s="64">
        <v>0.11000000000000001</v>
      </c>
      <c r="AM68" s="66" t="s">
        <v>326</v>
      </c>
    </row>
    <row r="69" spans="1:39" s="199" customFormat="1" ht="15" customHeight="1" x14ac:dyDescent="0.2">
      <c r="A69" s="204" t="s">
        <v>193</v>
      </c>
      <c r="B69" s="203"/>
      <c r="C69" s="203" t="s">
        <v>123</v>
      </c>
      <c r="D69" s="72">
        <v>87.5</v>
      </c>
      <c r="E69" s="72">
        <v>10.5</v>
      </c>
      <c r="F69" s="72">
        <v>2.5999999046325684</v>
      </c>
      <c r="G69" s="72">
        <v>1.6000000238418579</v>
      </c>
      <c r="H69" s="72">
        <v>1.6000000238418579</v>
      </c>
      <c r="I69" s="72">
        <v>0.30999999046325682</v>
      </c>
      <c r="J69" s="72">
        <v>0.32000000476837159</v>
      </c>
      <c r="K69" s="72">
        <v>0.17000000476837157</v>
      </c>
      <c r="L69" s="72">
        <v>0.24000000953674316</v>
      </c>
      <c r="M69" s="72">
        <v>0.40999999046325686</v>
      </c>
      <c r="N69" s="72">
        <v>0.12999999523162842</v>
      </c>
      <c r="O69" s="72">
        <v>17.799999237060547</v>
      </c>
      <c r="P69" s="72">
        <v>0.80000001192092896</v>
      </c>
      <c r="Q69" s="72">
        <v>15.199999809265137</v>
      </c>
      <c r="R69" s="72">
        <v>56.400001525878906</v>
      </c>
      <c r="S69" s="72">
        <v>5.9000000953674316</v>
      </c>
      <c r="T69" s="72">
        <v>0.60000002384185791</v>
      </c>
      <c r="U69" s="72">
        <v>3.2000000476837158</v>
      </c>
      <c r="V69" s="72">
        <v>2.0999999046325684</v>
      </c>
      <c r="W69" s="72">
        <v>1</v>
      </c>
      <c r="X69" s="72">
        <v>4</v>
      </c>
      <c r="Y69" s="72">
        <v>5.000000074505806E-2</v>
      </c>
      <c r="Z69" s="72">
        <v>12.426778242677825</v>
      </c>
      <c r="AA69" s="72">
        <v>11.92468619246862</v>
      </c>
      <c r="AB69" s="72">
        <v>8</v>
      </c>
      <c r="AC69" s="72">
        <v>8</v>
      </c>
      <c r="AD69" s="72">
        <v>5</v>
      </c>
      <c r="AE69" s="72">
        <v>55</v>
      </c>
      <c r="AF69" s="72"/>
      <c r="AG69" s="72">
        <v>0.25</v>
      </c>
      <c r="AH69" s="72">
        <v>0.25999999046325684</v>
      </c>
      <c r="AI69" s="72">
        <v>0.15</v>
      </c>
      <c r="AJ69" s="72">
        <v>0.2</v>
      </c>
      <c r="AK69" s="72">
        <v>0.35</v>
      </c>
      <c r="AL69" s="72">
        <v>0.11000000238418579</v>
      </c>
      <c r="AM69" s="66" t="s">
        <v>326</v>
      </c>
    </row>
    <row r="70" spans="1:39" ht="15" customHeight="1" x14ac:dyDescent="0.2">
      <c r="A70" s="200" t="s">
        <v>194</v>
      </c>
      <c r="B70" s="201"/>
      <c r="C70" s="202" t="s">
        <v>123</v>
      </c>
      <c r="D70" s="64">
        <v>86.599998474121094</v>
      </c>
      <c r="E70" s="64">
        <v>15.199999809265137</v>
      </c>
      <c r="F70" s="64">
        <v>6.5999999046325684</v>
      </c>
      <c r="G70" s="64">
        <v>3.9000000953674316</v>
      </c>
      <c r="H70" s="64">
        <v>4.4000000953674316</v>
      </c>
      <c r="I70" s="64">
        <v>0.6</v>
      </c>
      <c r="J70" s="64">
        <v>0.49000000953674316</v>
      </c>
      <c r="K70" s="64">
        <v>0.22999999523162842</v>
      </c>
      <c r="L70" s="64">
        <v>0.30999999046325682</v>
      </c>
      <c r="M70" s="64">
        <v>0.54000000953674321</v>
      </c>
      <c r="N70" s="64">
        <v>0.2</v>
      </c>
      <c r="O70" s="64">
        <v>17.799999237060547</v>
      </c>
      <c r="P70" s="64">
        <v>0.80000001192092896</v>
      </c>
      <c r="Q70" s="64">
        <v>15.199999809265137</v>
      </c>
      <c r="R70" s="64">
        <v>56.400001525878906</v>
      </c>
      <c r="S70" s="64">
        <v>5.9000000953674316</v>
      </c>
      <c r="T70" s="64">
        <v>1.1000000238418579</v>
      </c>
      <c r="U70" s="64">
        <v>8.8000001907348633</v>
      </c>
      <c r="V70" s="72">
        <v>7</v>
      </c>
      <c r="W70" s="64">
        <v>3.5</v>
      </c>
      <c r="X70" s="64">
        <v>10.899999618530273</v>
      </c>
      <c r="Y70" s="64">
        <v>5.000000074505806E-2</v>
      </c>
      <c r="Z70" s="64">
        <v>8.7447698744769866</v>
      </c>
      <c r="AA70" s="64">
        <v>8.3682008368200833</v>
      </c>
      <c r="AB70" s="64"/>
      <c r="AC70" s="64"/>
      <c r="AD70" s="64"/>
      <c r="AE70" s="64"/>
      <c r="AF70" s="64"/>
      <c r="AG70" s="65">
        <v>0.46999998092651368</v>
      </c>
      <c r="AH70" s="65">
        <v>0.35999999046325681</v>
      </c>
      <c r="AI70" s="65">
        <v>0.18999999761581421</v>
      </c>
      <c r="AJ70" s="65">
        <v>0.24000000953674316</v>
      </c>
      <c r="AK70" s="65">
        <v>0.43000001907348634</v>
      </c>
      <c r="AL70" s="65">
        <v>0.1600000023841858</v>
      </c>
      <c r="AM70" s="66" t="s">
        <v>326</v>
      </c>
    </row>
    <row r="71" spans="1:39" ht="15" customHeight="1" x14ac:dyDescent="0.2">
      <c r="A71" s="206" t="s">
        <v>195</v>
      </c>
      <c r="B71" s="201"/>
      <c r="C71" s="202" t="s">
        <v>196</v>
      </c>
      <c r="D71" s="64">
        <v>96.2</v>
      </c>
      <c r="E71" s="64">
        <v>13.3</v>
      </c>
      <c r="F71" s="64">
        <v>0</v>
      </c>
      <c r="G71" s="64">
        <v>18.8</v>
      </c>
      <c r="H71" s="64">
        <v>8.1999999999999993</v>
      </c>
      <c r="I71" s="64">
        <v>0.99</v>
      </c>
      <c r="J71" s="64">
        <v>0.75</v>
      </c>
      <c r="K71" s="64">
        <v>0.2</v>
      </c>
      <c r="L71" s="64">
        <v>0.24</v>
      </c>
      <c r="M71" s="64">
        <v>0.44000000000000006</v>
      </c>
      <c r="N71" s="64">
        <v>0.19</v>
      </c>
      <c r="O71" s="64">
        <v>52.4</v>
      </c>
      <c r="P71" s="64">
        <v>22.9</v>
      </c>
      <c r="Q71" s="64">
        <v>38.799999999999997</v>
      </c>
      <c r="R71" s="64">
        <v>72</v>
      </c>
      <c r="S71" s="64">
        <v>1.8</v>
      </c>
      <c r="T71" s="64">
        <v>8.1</v>
      </c>
      <c r="U71" s="64">
        <v>7</v>
      </c>
      <c r="V71" s="72"/>
      <c r="W71" s="64"/>
      <c r="X71" s="64">
        <v>20.6</v>
      </c>
      <c r="Y71" s="64">
        <v>6.32</v>
      </c>
      <c r="Z71" s="64">
        <v>12.761506276150628</v>
      </c>
      <c r="AA71" s="64">
        <v>12.761506276150628</v>
      </c>
      <c r="AB71" s="65">
        <v>10</v>
      </c>
      <c r="AC71" s="65">
        <v>10</v>
      </c>
      <c r="AD71" s="65">
        <v>10</v>
      </c>
      <c r="AE71" s="64"/>
      <c r="AF71" s="64"/>
      <c r="AG71" s="64">
        <v>0.93</v>
      </c>
      <c r="AH71" s="64">
        <v>0.66</v>
      </c>
      <c r="AI71" s="64">
        <v>0.2</v>
      </c>
      <c r="AJ71" s="64">
        <v>0.2</v>
      </c>
      <c r="AK71" s="64">
        <v>0.4</v>
      </c>
      <c r="AL71" s="64">
        <v>0.17</v>
      </c>
      <c r="AM71" s="66" t="s">
        <v>122</v>
      </c>
    </row>
    <row r="72" spans="1:39" ht="15" customHeight="1" x14ac:dyDescent="0.2">
      <c r="A72" s="204" t="s">
        <v>197</v>
      </c>
      <c r="B72" s="201"/>
      <c r="C72" s="202" t="s">
        <v>196</v>
      </c>
      <c r="D72" s="64">
        <v>95.7</v>
      </c>
      <c r="E72" s="64">
        <v>14.4</v>
      </c>
      <c r="F72" s="64">
        <v>0</v>
      </c>
      <c r="G72" s="64">
        <v>9.9</v>
      </c>
      <c r="H72" s="64">
        <v>8.5</v>
      </c>
      <c r="I72" s="64">
        <v>1.0699999999999998</v>
      </c>
      <c r="J72" s="64">
        <v>0.82</v>
      </c>
      <c r="K72" s="64">
        <v>0.22000000000000003</v>
      </c>
      <c r="L72" s="64">
        <v>0.26</v>
      </c>
      <c r="M72" s="64">
        <v>0.48</v>
      </c>
      <c r="N72" s="64">
        <v>0.2</v>
      </c>
      <c r="O72" s="64">
        <v>27.7</v>
      </c>
      <c r="P72" s="64">
        <v>12.1</v>
      </c>
      <c r="Q72" s="64">
        <v>20.5</v>
      </c>
      <c r="R72" s="64">
        <v>3.8</v>
      </c>
      <c r="S72" s="64">
        <v>0.9</v>
      </c>
      <c r="T72" s="64">
        <v>8.8000000000000007</v>
      </c>
      <c r="U72" s="64">
        <v>7.2</v>
      </c>
      <c r="V72" s="72"/>
      <c r="W72" s="64"/>
      <c r="X72" s="64">
        <v>20.7</v>
      </c>
      <c r="Y72" s="64">
        <v>6.42</v>
      </c>
      <c r="Z72" s="64">
        <v>10.585774058577407</v>
      </c>
      <c r="AA72" s="64">
        <v>10.585774058577407</v>
      </c>
      <c r="AB72" s="64">
        <v>10</v>
      </c>
      <c r="AC72" s="64">
        <v>10</v>
      </c>
      <c r="AD72" s="64">
        <v>10</v>
      </c>
      <c r="AE72" s="64"/>
      <c r="AF72" s="64"/>
      <c r="AG72" s="64">
        <v>1.01</v>
      </c>
      <c r="AH72" s="64">
        <v>0.72</v>
      </c>
      <c r="AI72" s="64">
        <v>0.22</v>
      </c>
      <c r="AJ72" s="64">
        <v>0.22</v>
      </c>
      <c r="AK72" s="64">
        <v>0.44</v>
      </c>
      <c r="AL72" s="64">
        <v>0.18</v>
      </c>
      <c r="AM72" s="66" t="s">
        <v>122</v>
      </c>
    </row>
    <row r="73" spans="1:39" ht="15" customHeight="1" x14ac:dyDescent="0.2">
      <c r="A73" s="200" t="s">
        <v>198</v>
      </c>
      <c r="B73" s="201"/>
      <c r="C73" s="202" t="s">
        <v>196</v>
      </c>
      <c r="D73" s="64">
        <v>96.699996948242188</v>
      </c>
      <c r="E73" s="64">
        <v>11.800000190734863</v>
      </c>
      <c r="F73" s="64">
        <v>0</v>
      </c>
      <c r="G73" s="64">
        <v>2.5</v>
      </c>
      <c r="H73" s="64">
        <v>8</v>
      </c>
      <c r="I73" s="71">
        <v>0.88000001907348635</v>
      </c>
      <c r="J73" s="71">
        <v>0.65999999046325686</v>
      </c>
      <c r="K73" s="71">
        <v>0.17999999523162841</v>
      </c>
      <c r="L73" s="71">
        <v>0.20999999046325685</v>
      </c>
      <c r="M73" s="71">
        <v>0.39000000953674319</v>
      </c>
      <c r="N73" s="71">
        <v>0.1600000023841858</v>
      </c>
      <c r="O73" s="64">
        <v>29.299999237060547</v>
      </c>
      <c r="P73" s="64">
        <v>12.800000190734863</v>
      </c>
      <c r="Q73" s="64">
        <v>21.700000762939453</v>
      </c>
      <c r="R73" s="64">
        <v>4</v>
      </c>
      <c r="S73" s="64">
        <v>1</v>
      </c>
      <c r="T73" s="64">
        <v>7.6999998092651367</v>
      </c>
      <c r="U73" s="64">
        <v>6.8000001907348633</v>
      </c>
      <c r="V73" s="72">
        <v>0</v>
      </c>
      <c r="W73" s="64">
        <v>1.5</v>
      </c>
      <c r="X73" s="64">
        <v>20.700000762939453</v>
      </c>
      <c r="Y73" s="64">
        <v>6.309999942779541</v>
      </c>
      <c r="Z73" s="64">
        <v>8.6610878661087867</v>
      </c>
      <c r="AA73" s="64">
        <v>8.6610878661087867</v>
      </c>
      <c r="AB73" s="64"/>
      <c r="AC73" s="64"/>
      <c r="AD73" s="64"/>
      <c r="AE73" s="64"/>
      <c r="AF73" s="64"/>
      <c r="AG73" s="64">
        <v>0.83000001907348631</v>
      </c>
      <c r="AH73" s="64">
        <v>0.58000001907348631</v>
      </c>
      <c r="AI73" s="64">
        <v>0.17000000476837157</v>
      </c>
      <c r="AJ73" s="64">
        <v>0.17999999523162841</v>
      </c>
      <c r="AK73" s="64">
        <v>0.35</v>
      </c>
      <c r="AL73" s="64">
        <v>0.15</v>
      </c>
      <c r="AM73" s="66" t="s">
        <v>326</v>
      </c>
    </row>
    <row r="74" spans="1:39" ht="15" customHeight="1" x14ac:dyDescent="0.2">
      <c r="A74" s="200" t="s">
        <v>199</v>
      </c>
      <c r="B74" s="201"/>
      <c r="C74" s="202" t="s">
        <v>121</v>
      </c>
      <c r="D74" s="64">
        <v>87.5</v>
      </c>
      <c r="E74" s="64">
        <v>32.900001525878906</v>
      </c>
      <c r="F74" s="64">
        <v>11.800000190734863</v>
      </c>
      <c r="G74" s="64">
        <v>6.6999998092651367</v>
      </c>
      <c r="H74" s="64">
        <v>3.4000000953674316</v>
      </c>
      <c r="I74" s="71">
        <v>1.6100000381469726</v>
      </c>
      <c r="J74" s="71">
        <v>1.2300000190734863</v>
      </c>
      <c r="K74" s="71">
        <v>0.25999999046325684</v>
      </c>
      <c r="L74" s="71">
        <v>0.55000000000000004</v>
      </c>
      <c r="M74" s="71">
        <v>0.81000003814697263</v>
      </c>
      <c r="N74" s="71">
        <v>0.22999999523162842</v>
      </c>
      <c r="O74" s="64">
        <v>7.4000000953674316</v>
      </c>
      <c r="P74" s="64">
        <v>2</v>
      </c>
      <c r="Q74" s="64">
        <v>49.099998474121094</v>
      </c>
      <c r="R74" s="64">
        <v>14.699999809265137</v>
      </c>
      <c r="S74" s="64">
        <v>8.3000001907348633</v>
      </c>
      <c r="T74" s="64">
        <v>2.5999999046325684</v>
      </c>
      <c r="U74" s="64">
        <v>3.5999999046325684</v>
      </c>
      <c r="V74" s="72">
        <v>2.2000000476837158</v>
      </c>
      <c r="W74" s="64">
        <v>1.3999999761581421</v>
      </c>
      <c r="X74" s="64">
        <v>9.6999999999999993</v>
      </c>
      <c r="Y74" s="64">
        <v>0.28999999999999998</v>
      </c>
      <c r="Z74" s="64">
        <v>9.5815899581589949</v>
      </c>
      <c r="AA74" s="64">
        <v>9.3723849372384933</v>
      </c>
      <c r="AB74" s="67">
        <v>10</v>
      </c>
      <c r="AC74" s="67">
        <v>15</v>
      </c>
      <c r="AD74" s="67">
        <v>5</v>
      </c>
      <c r="AE74" s="64" t="s">
        <v>116</v>
      </c>
      <c r="AF74" s="64">
        <v>0.89999997615814209</v>
      </c>
      <c r="AG74" s="71">
        <v>1.4</v>
      </c>
      <c r="AH74" s="71">
        <v>1</v>
      </c>
      <c r="AI74" s="71">
        <v>0.20999999046325685</v>
      </c>
      <c r="AJ74" s="71">
        <v>0.44000000953674318</v>
      </c>
      <c r="AK74" s="71">
        <v>0.65999999046325686</v>
      </c>
      <c r="AL74" s="71">
        <v>0.18999999761581421</v>
      </c>
      <c r="AM74" s="66" t="s">
        <v>326</v>
      </c>
    </row>
    <row r="75" spans="1:39" ht="15" customHeight="1" x14ac:dyDescent="0.2">
      <c r="A75" s="200" t="s">
        <v>200</v>
      </c>
      <c r="B75" s="201"/>
      <c r="C75" s="202" t="s">
        <v>109</v>
      </c>
      <c r="D75" s="64">
        <v>93.3</v>
      </c>
      <c r="E75" s="64">
        <v>46.5</v>
      </c>
      <c r="F75" s="72">
        <v>1.8</v>
      </c>
      <c r="G75" s="64">
        <v>3.6</v>
      </c>
      <c r="H75" s="64">
        <v>7.1</v>
      </c>
      <c r="I75" s="64">
        <v>0.69000000000000006</v>
      </c>
      <c r="J75" s="64">
        <v>0.39</v>
      </c>
      <c r="K75" s="64">
        <v>0.15</v>
      </c>
      <c r="L75" s="64">
        <v>0.32999999999999996</v>
      </c>
      <c r="M75" s="64">
        <v>0.48</v>
      </c>
      <c r="N75" s="64">
        <v>4.9000000000000002E-2</v>
      </c>
      <c r="O75" s="64"/>
      <c r="P75" s="64"/>
      <c r="Q75" s="64"/>
      <c r="R75" s="64"/>
      <c r="S75" s="64"/>
      <c r="T75" s="64">
        <v>0.3</v>
      </c>
      <c r="U75" s="64">
        <v>13.1</v>
      </c>
      <c r="V75" s="72"/>
      <c r="W75" s="64">
        <v>2.4</v>
      </c>
      <c r="X75" s="64"/>
      <c r="Y75" s="64">
        <v>1.8</v>
      </c>
      <c r="Z75" s="64">
        <v>9.2970711297071134</v>
      </c>
      <c r="AA75" s="64">
        <v>0</v>
      </c>
      <c r="AB75" s="64">
        <v>10</v>
      </c>
      <c r="AC75" s="64">
        <v>10</v>
      </c>
      <c r="AD75" s="64"/>
      <c r="AE75" s="64"/>
      <c r="AF75" s="64"/>
      <c r="AG75" s="64"/>
      <c r="AH75" s="64"/>
      <c r="AI75" s="64"/>
      <c r="AJ75" s="64"/>
      <c r="AK75" s="64"/>
      <c r="AL75" s="64"/>
      <c r="AM75" s="66" t="s">
        <v>201</v>
      </c>
    </row>
    <row r="76" spans="1:39" x14ac:dyDescent="0.2">
      <c r="A76" s="73"/>
      <c r="B76" s="74"/>
      <c r="C76" s="75"/>
      <c r="D76" s="71"/>
      <c r="E76" s="71"/>
      <c r="F76" s="71"/>
      <c r="G76" s="71"/>
      <c r="H76" s="71"/>
      <c r="I76" s="71"/>
      <c r="J76" s="71"/>
      <c r="K76" s="71"/>
      <c r="L76" s="71"/>
      <c r="M76" s="71"/>
      <c r="N76" s="71"/>
      <c r="O76" s="71"/>
      <c r="P76" s="71"/>
      <c r="Q76" s="71"/>
      <c r="R76" s="71"/>
      <c r="S76" s="71"/>
      <c r="T76" s="71"/>
      <c r="U76" s="71"/>
      <c r="V76" s="197"/>
      <c r="W76" s="71"/>
      <c r="X76" s="71"/>
      <c r="Y76" s="71"/>
      <c r="Z76" s="71"/>
      <c r="AA76" s="71"/>
      <c r="AB76" s="71"/>
      <c r="AC76" s="71"/>
      <c r="AD76" s="71"/>
      <c r="AE76" s="71"/>
      <c r="AF76" s="71"/>
      <c r="AG76" s="71"/>
      <c r="AH76" s="71"/>
      <c r="AI76" s="71"/>
      <c r="AJ76" s="71"/>
      <c r="AK76" s="71"/>
      <c r="AL76" s="71"/>
      <c r="AM76" s="76"/>
    </row>
    <row r="77" spans="1:39" x14ac:dyDescent="0.2">
      <c r="A77" s="61"/>
      <c r="B77" s="62"/>
      <c r="C77" s="63"/>
      <c r="D77" s="64"/>
      <c r="E77" s="64"/>
      <c r="F77" s="64"/>
      <c r="G77" s="64"/>
      <c r="H77" s="64"/>
      <c r="I77" s="64"/>
      <c r="J77" s="64"/>
      <c r="K77" s="64"/>
      <c r="L77" s="64"/>
      <c r="M77" s="64"/>
      <c r="N77" s="64"/>
      <c r="O77" s="64"/>
      <c r="P77" s="64"/>
      <c r="Q77" s="64"/>
      <c r="R77" s="64"/>
      <c r="S77" s="64"/>
      <c r="T77" s="64"/>
      <c r="U77" s="64"/>
      <c r="V77" s="72"/>
      <c r="W77" s="64"/>
      <c r="X77" s="64"/>
      <c r="Y77" s="64"/>
      <c r="Z77" s="64"/>
      <c r="AA77" s="64"/>
      <c r="AB77" s="64"/>
      <c r="AC77" s="64"/>
      <c r="AD77" s="64"/>
      <c r="AE77" s="64"/>
      <c r="AF77" s="64"/>
      <c r="AG77" s="64"/>
      <c r="AH77" s="64"/>
      <c r="AI77" s="64"/>
      <c r="AJ77" s="64"/>
      <c r="AK77" s="64"/>
      <c r="AL77" s="64"/>
      <c r="AM77" s="66"/>
    </row>
    <row r="78" spans="1:39" x14ac:dyDescent="0.2">
      <c r="A78" s="61"/>
      <c r="B78" s="62"/>
      <c r="C78" s="63"/>
      <c r="D78" s="64"/>
      <c r="E78" s="64"/>
      <c r="F78" s="64"/>
      <c r="G78" s="64"/>
      <c r="H78" s="64"/>
      <c r="I78" s="64"/>
      <c r="J78" s="64"/>
      <c r="K78" s="64"/>
      <c r="L78" s="64"/>
      <c r="M78" s="64"/>
      <c r="N78" s="64"/>
      <c r="O78" s="64"/>
      <c r="P78" s="64"/>
      <c r="Q78" s="64"/>
      <c r="R78" s="64"/>
      <c r="S78" s="64"/>
      <c r="T78" s="64"/>
      <c r="U78" s="64"/>
      <c r="V78" s="72"/>
      <c r="W78" s="64"/>
      <c r="X78" s="64"/>
      <c r="Y78" s="64"/>
      <c r="Z78" s="64"/>
      <c r="AA78" s="64"/>
      <c r="AB78" s="64"/>
      <c r="AC78" s="64"/>
      <c r="AD78" s="64"/>
      <c r="AE78" s="64"/>
      <c r="AF78" s="64"/>
      <c r="AG78" s="64"/>
      <c r="AH78" s="64"/>
      <c r="AI78" s="64"/>
      <c r="AJ78" s="64"/>
      <c r="AK78" s="64"/>
      <c r="AL78" s="64"/>
      <c r="AM78" s="66"/>
    </row>
    <row r="79" spans="1:39" x14ac:dyDescent="0.2">
      <c r="A79" s="61"/>
      <c r="B79" s="62"/>
      <c r="C79" s="63"/>
      <c r="D79" s="64"/>
      <c r="E79" s="64"/>
      <c r="F79" s="64"/>
      <c r="G79" s="64"/>
      <c r="H79" s="64"/>
      <c r="I79" s="64"/>
      <c r="J79" s="64"/>
      <c r="K79" s="64"/>
      <c r="L79" s="64"/>
      <c r="M79" s="64"/>
      <c r="N79" s="64"/>
      <c r="O79" s="64"/>
      <c r="P79" s="64"/>
      <c r="Q79" s="64"/>
      <c r="R79" s="64"/>
      <c r="S79" s="64"/>
      <c r="T79" s="64"/>
      <c r="U79" s="64"/>
      <c r="V79" s="72"/>
      <c r="W79" s="64"/>
      <c r="X79" s="64"/>
      <c r="Y79" s="64"/>
      <c r="Z79" s="64"/>
      <c r="AA79" s="64"/>
      <c r="AB79" s="64"/>
      <c r="AC79" s="64"/>
      <c r="AD79" s="64"/>
      <c r="AE79" s="64"/>
      <c r="AF79" s="64"/>
      <c r="AG79" s="64"/>
      <c r="AH79" s="64"/>
      <c r="AI79" s="64"/>
      <c r="AJ79" s="64"/>
      <c r="AK79" s="64"/>
      <c r="AL79" s="64"/>
      <c r="AM79" s="66"/>
    </row>
    <row r="80" spans="1:39" x14ac:dyDescent="0.2">
      <c r="A80" s="61"/>
      <c r="B80" s="62"/>
      <c r="C80" s="63"/>
      <c r="D80" s="64"/>
      <c r="E80" s="64"/>
      <c r="F80" s="64"/>
      <c r="G80" s="64"/>
      <c r="H80" s="64"/>
      <c r="I80" s="64"/>
      <c r="J80" s="64"/>
      <c r="K80" s="64"/>
      <c r="L80" s="64"/>
      <c r="M80" s="64"/>
      <c r="N80" s="64"/>
      <c r="O80" s="64"/>
      <c r="P80" s="64"/>
      <c r="Q80" s="64"/>
      <c r="R80" s="64"/>
      <c r="S80" s="64"/>
      <c r="T80" s="64"/>
      <c r="U80" s="64"/>
      <c r="V80" s="72"/>
      <c r="W80" s="64"/>
      <c r="X80" s="64"/>
      <c r="Y80" s="64"/>
      <c r="Z80" s="64"/>
      <c r="AA80" s="64"/>
      <c r="AB80" s="64"/>
      <c r="AC80" s="64"/>
      <c r="AD80" s="64"/>
      <c r="AE80" s="64"/>
      <c r="AF80" s="64"/>
      <c r="AG80" s="64"/>
      <c r="AH80" s="64"/>
      <c r="AI80" s="64"/>
      <c r="AJ80" s="64"/>
      <c r="AK80" s="64"/>
      <c r="AL80" s="64"/>
      <c r="AM80" s="66"/>
    </row>
    <row r="81" spans="1:39" x14ac:dyDescent="0.2">
      <c r="A81" s="61"/>
      <c r="B81" s="62"/>
      <c r="C81" s="63"/>
      <c r="D81" s="64"/>
      <c r="E81" s="64"/>
      <c r="F81" s="64"/>
      <c r="G81" s="64"/>
      <c r="H81" s="64"/>
      <c r="I81" s="64"/>
      <c r="J81" s="64"/>
      <c r="K81" s="64"/>
      <c r="L81" s="64"/>
      <c r="M81" s="64"/>
      <c r="N81" s="64"/>
      <c r="O81" s="64"/>
      <c r="P81" s="64"/>
      <c r="Q81" s="64"/>
      <c r="R81" s="64"/>
      <c r="S81" s="64"/>
      <c r="T81" s="64"/>
      <c r="U81" s="64"/>
      <c r="V81" s="72"/>
      <c r="W81" s="64"/>
      <c r="X81" s="64"/>
      <c r="Y81" s="64"/>
      <c r="Z81" s="64"/>
      <c r="AA81" s="64"/>
      <c r="AB81" s="64"/>
      <c r="AC81" s="64"/>
      <c r="AD81" s="64"/>
      <c r="AE81" s="64"/>
      <c r="AF81" s="64"/>
      <c r="AG81" s="64"/>
      <c r="AH81" s="64"/>
      <c r="AI81" s="64"/>
      <c r="AJ81" s="64"/>
      <c r="AK81" s="64"/>
      <c r="AL81" s="64"/>
      <c r="AM81" s="66"/>
    </row>
    <row r="82" spans="1:39" x14ac:dyDescent="0.2">
      <c r="A82" s="61"/>
      <c r="B82" s="62"/>
      <c r="C82" s="63"/>
      <c r="D82" s="64"/>
      <c r="E82" s="64"/>
      <c r="F82" s="64"/>
      <c r="G82" s="64"/>
      <c r="H82" s="64"/>
      <c r="I82" s="64"/>
      <c r="J82" s="64"/>
      <c r="K82" s="64"/>
      <c r="L82" s="64"/>
      <c r="M82" s="64"/>
      <c r="N82" s="64"/>
      <c r="O82" s="64"/>
      <c r="P82" s="64"/>
      <c r="Q82" s="64"/>
      <c r="R82" s="64"/>
      <c r="S82" s="64"/>
      <c r="T82" s="64"/>
      <c r="U82" s="64"/>
      <c r="V82" s="72"/>
      <c r="W82" s="64"/>
      <c r="X82" s="64"/>
      <c r="Y82" s="64"/>
      <c r="Z82" s="64"/>
      <c r="AA82" s="64"/>
      <c r="AB82" s="64"/>
      <c r="AC82" s="64"/>
      <c r="AD82" s="64"/>
      <c r="AE82" s="64"/>
      <c r="AF82" s="64"/>
      <c r="AG82" s="64"/>
      <c r="AH82" s="64"/>
      <c r="AI82" s="64"/>
      <c r="AJ82" s="64"/>
      <c r="AK82" s="64"/>
      <c r="AL82" s="64"/>
      <c r="AM82" s="66"/>
    </row>
    <row r="83" spans="1:39" x14ac:dyDescent="0.2">
      <c r="A83" s="61"/>
      <c r="B83" s="62"/>
      <c r="C83" s="63"/>
      <c r="D83" s="64"/>
      <c r="E83" s="64"/>
      <c r="F83" s="64"/>
      <c r="G83" s="64"/>
      <c r="H83" s="64"/>
      <c r="I83" s="64"/>
      <c r="J83" s="64"/>
      <c r="K83" s="64"/>
      <c r="L83" s="64"/>
      <c r="M83" s="64"/>
      <c r="N83" s="64"/>
      <c r="O83" s="64"/>
      <c r="P83" s="64"/>
      <c r="Q83" s="64"/>
      <c r="R83" s="64"/>
      <c r="S83" s="64"/>
      <c r="T83" s="64"/>
      <c r="U83" s="64"/>
      <c r="V83" s="72"/>
      <c r="W83" s="64"/>
      <c r="X83" s="64"/>
      <c r="Y83" s="64"/>
      <c r="Z83" s="64"/>
      <c r="AA83" s="64"/>
      <c r="AB83" s="64"/>
      <c r="AC83" s="64"/>
      <c r="AD83" s="64"/>
      <c r="AE83" s="64"/>
      <c r="AF83" s="64"/>
      <c r="AG83" s="64"/>
      <c r="AH83" s="64"/>
      <c r="AI83" s="64"/>
      <c r="AJ83" s="64"/>
      <c r="AK83" s="64"/>
      <c r="AL83" s="64"/>
      <c r="AM83" s="66"/>
    </row>
    <row r="84" spans="1:39" x14ac:dyDescent="0.2">
      <c r="A84" s="61"/>
      <c r="B84" s="62"/>
      <c r="C84" s="63"/>
      <c r="D84" s="64"/>
      <c r="E84" s="64"/>
      <c r="F84" s="64"/>
      <c r="G84" s="64"/>
      <c r="H84" s="64"/>
      <c r="I84" s="64"/>
      <c r="J84" s="64"/>
      <c r="K84" s="64"/>
      <c r="L84" s="64"/>
      <c r="M84" s="64"/>
      <c r="N84" s="64"/>
      <c r="O84" s="64"/>
      <c r="P84" s="64"/>
      <c r="Q84" s="64"/>
      <c r="R84" s="64"/>
      <c r="S84" s="64"/>
      <c r="T84" s="64"/>
      <c r="U84" s="64"/>
      <c r="V84" s="72"/>
      <c r="W84" s="64"/>
      <c r="X84" s="64"/>
      <c r="Y84" s="64"/>
      <c r="Z84" s="64"/>
      <c r="AA84" s="64"/>
      <c r="AB84" s="64"/>
      <c r="AC84" s="64"/>
      <c r="AD84" s="64"/>
      <c r="AE84" s="64"/>
      <c r="AF84" s="64"/>
      <c r="AG84" s="64"/>
      <c r="AH84" s="64"/>
      <c r="AI84" s="64"/>
      <c r="AJ84" s="64"/>
      <c r="AK84" s="64"/>
      <c r="AL84" s="64"/>
      <c r="AM84" s="66"/>
    </row>
    <row r="85" spans="1:39" x14ac:dyDescent="0.2">
      <c r="A85" s="61"/>
      <c r="B85" s="62"/>
      <c r="C85" s="63"/>
      <c r="D85" s="64"/>
      <c r="E85" s="64"/>
      <c r="F85" s="64"/>
      <c r="G85" s="64"/>
      <c r="H85" s="64"/>
      <c r="I85" s="64"/>
      <c r="J85" s="64"/>
      <c r="K85" s="64"/>
      <c r="L85" s="64"/>
      <c r="M85" s="64"/>
      <c r="N85" s="64"/>
      <c r="O85" s="64"/>
      <c r="P85" s="64"/>
      <c r="Q85" s="64"/>
      <c r="R85" s="64"/>
      <c r="S85" s="64"/>
      <c r="T85" s="64"/>
      <c r="U85" s="64"/>
      <c r="V85" s="72"/>
      <c r="W85" s="64"/>
      <c r="X85" s="64"/>
      <c r="Y85" s="64"/>
      <c r="Z85" s="64"/>
      <c r="AA85" s="64"/>
      <c r="AB85" s="64"/>
      <c r="AC85" s="64"/>
      <c r="AD85" s="64"/>
      <c r="AE85" s="64"/>
      <c r="AF85" s="64"/>
      <c r="AG85" s="64"/>
      <c r="AH85" s="64"/>
      <c r="AI85" s="64"/>
      <c r="AJ85" s="64"/>
      <c r="AK85" s="64"/>
      <c r="AL85" s="64"/>
      <c r="AM85" s="66"/>
    </row>
    <row r="86" spans="1:39" x14ac:dyDescent="0.2">
      <c r="A86" s="61"/>
      <c r="B86" s="62"/>
      <c r="C86" s="63"/>
      <c r="D86" s="64"/>
      <c r="E86" s="64"/>
      <c r="F86" s="64"/>
      <c r="G86" s="64"/>
      <c r="H86" s="64"/>
      <c r="I86" s="64"/>
      <c r="J86" s="64"/>
      <c r="K86" s="64"/>
      <c r="L86" s="64"/>
      <c r="M86" s="64"/>
      <c r="N86" s="64"/>
      <c r="O86" s="64"/>
      <c r="P86" s="64"/>
      <c r="Q86" s="64"/>
      <c r="R86" s="64"/>
      <c r="S86" s="64"/>
      <c r="T86" s="64"/>
      <c r="U86" s="64"/>
      <c r="V86" s="72"/>
      <c r="W86" s="64"/>
      <c r="X86" s="64"/>
      <c r="Y86" s="64"/>
      <c r="Z86" s="64"/>
      <c r="AA86" s="64"/>
      <c r="AB86" s="64"/>
      <c r="AC86" s="64"/>
      <c r="AD86" s="64"/>
      <c r="AE86" s="64"/>
      <c r="AF86" s="64"/>
      <c r="AG86" s="64"/>
      <c r="AH86" s="64"/>
      <c r="AI86" s="64"/>
      <c r="AJ86" s="64"/>
      <c r="AK86" s="64"/>
      <c r="AL86" s="64"/>
      <c r="AM86" s="66"/>
    </row>
    <row r="87" spans="1:39" x14ac:dyDescent="0.2">
      <c r="A87" s="61"/>
      <c r="B87" s="62"/>
      <c r="C87" s="63"/>
      <c r="D87" s="64"/>
      <c r="E87" s="64"/>
      <c r="F87" s="64"/>
      <c r="G87" s="64"/>
      <c r="H87" s="64"/>
      <c r="I87" s="64"/>
      <c r="J87" s="64"/>
      <c r="K87" s="64"/>
      <c r="L87" s="64"/>
      <c r="M87" s="64"/>
      <c r="N87" s="64"/>
      <c r="O87" s="64"/>
      <c r="P87" s="64"/>
      <c r="Q87" s="64"/>
      <c r="R87" s="64"/>
      <c r="S87" s="64"/>
      <c r="T87" s="64"/>
      <c r="U87" s="64"/>
      <c r="V87" s="72"/>
      <c r="W87" s="64"/>
      <c r="X87" s="64"/>
      <c r="Y87" s="64"/>
      <c r="Z87" s="64"/>
      <c r="AA87" s="64"/>
      <c r="AB87" s="64"/>
      <c r="AC87" s="64"/>
      <c r="AD87" s="64"/>
      <c r="AE87" s="64"/>
      <c r="AF87" s="64"/>
      <c r="AG87" s="64"/>
      <c r="AH87" s="64"/>
      <c r="AI87" s="64"/>
      <c r="AJ87" s="64"/>
      <c r="AK87" s="64"/>
      <c r="AL87" s="64"/>
      <c r="AM87" s="66"/>
    </row>
    <row r="88" spans="1:39" x14ac:dyDescent="0.2">
      <c r="A88" s="61"/>
      <c r="B88" s="62"/>
      <c r="C88" s="63"/>
      <c r="D88" s="64"/>
      <c r="E88" s="64"/>
      <c r="F88" s="64"/>
      <c r="G88" s="64"/>
      <c r="H88" s="64"/>
      <c r="I88" s="64"/>
      <c r="J88" s="64"/>
      <c r="K88" s="64"/>
      <c r="L88" s="64"/>
      <c r="M88" s="64"/>
      <c r="N88" s="64"/>
      <c r="O88" s="64"/>
      <c r="P88" s="64"/>
      <c r="Q88" s="64"/>
      <c r="R88" s="64"/>
      <c r="S88" s="64"/>
      <c r="T88" s="64"/>
      <c r="U88" s="64"/>
      <c r="V88" s="72"/>
      <c r="W88" s="64"/>
      <c r="X88" s="64"/>
      <c r="Y88" s="64"/>
      <c r="Z88" s="64"/>
      <c r="AA88" s="64"/>
      <c r="AB88" s="64"/>
      <c r="AC88" s="64"/>
      <c r="AD88" s="64"/>
      <c r="AE88" s="64"/>
      <c r="AF88" s="64"/>
      <c r="AG88" s="64"/>
      <c r="AH88" s="64"/>
      <c r="AI88" s="64"/>
      <c r="AJ88" s="64"/>
      <c r="AK88" s="64"/>
      <c r="AL88" s="64"/>
      <c r="AM88" s="66"/>
    </row>
    <row r="89" spans="1:39" x14ac:dyDescent="0.2">
      <c r="A89" s="61"/>
      <c r="B89" s="62"/>
      <c r="C89" s="63"/>
      <c r="D89" s="64"/>
      <c r="E89" s="64"/>
      <c r="F89" s="64"/>
      <c r="G89" s="64"/>
      <c r="H89" s="64"/>
      <c r="I89" s="64"/>
      <c r="J89" s="64"/>
      <c r="K89" s="64"/>
      <c r="L89" s="64"/>
      <c r="M89" s="64"/>
      <c r="N89" s="64"/>
      <c r="O89" s="64"/>
      <c r="P89" s="64"/>
      <c r="Q89" s="64"/>
      <c r="R89" s="64"/>
      <c r="S89" s="64"/>
      <c r="T89" s="64"/>
      <c r="U89" s="64"/>
      <c r="V89" s="72"/>
      <c r="W89" s="64"/>
      <c r="X89" s="64"/>
      <c r="Y89" s="64"/>
      <c r="Z89" s="64"/>
      <c r="AA89" s="64"/>
      <c r="AB89" s="64"/>
      <c r="AC89" s="64"/>
      <c r="AD89" s="64"/>
      <c r="AE89" s="64"/>
      <c r="AF89" s="64"/>
      <c r="AG89" s="64"/>
      <c r="AH89" s="64"/>
      <c r="AI89" s="64"/>
      <c r="AJ89" s="64"/>
      <c r="AK89" s="64"/>
      <c r="AL89" s="64"/>
      <c r="AM89" s="66"/>
    </row>
    <row r="90" spans="1:39" x14ac:dyDescent="0.2">
      <c r="A90" s="61"/>
      <c r="B90" s="62"/>
      <c r="C90" s="63"/>
      <c r="D90" s="64"/>
      <c r="E90" s="64"/>
      <c r="F90" s="64"/>
      <c r="G90" s="64"/>
      <c r="H90" s="64"/>
      <c r="I90" s="64"/>
      <c r="J90" s="64"/>
      <c r="K90" s="64"/>
      <c r="L90" s="64"/>
      <c r="M90" s="64"/>
      <c r="N90" s="64"/>
      <c r="O90" s="64"/>
      <c r="P90" s="64"/>
      <c r="Q90" s="64"/>
      <c r="R90" s="64"/>
      <c r="S90" s="64"/>
      <c r="T90" s="64"/>
      <c r="U90" s="64"/>
      <c r="V90" s="72"/>
      <c r="W90" s="64"/>
      <c r="X90" s="64"/>
      <c r="Y90" s="64"/>
      <c r="Z90" s="64"/>
      <c r="AA90" s="64"/>
      <c r="AB90" s="64"/>
      <c r="AC90" s="64"/>
      <c r="AD90" s="64"/>
      <c r="AE90" s="64"/>
      <c r="AF90" s="64"/>
      <c r="AG90" s="64"/>
      <c r="AH90" s="64"/>
      <c r="AI90" s="64"/>
      <c r="AJ90" s="64"/>
      <c r="AK90" s="64"/>
      <c r="AL90" s="64"/>
      <c r="AM90" s="66"/>
    </row>
    <row r="91" spans="1:39" x14ac:dyDescent="0.2">
      <c r="A91" s="61"/>
      <c r="B91" s="62"/>
      <c r="C91" s="63"/>
      <c r="D91" s="64"/>
      <c r="E91" s="64"/>
      <c r="F91" s="64"/>
      <c r="G91" s="64"/>
      <c r="H91" s="64"/>
      <c r="I91" s="64"/>
      <c r="J91" s="64"/>
      <c r="K91" s="64"/>
      <c r="L91" s="64"/>
      <c r="M91" s="64"/>
      <c r="N91" s="64"/>
      <c r="O91" s="64"/>
      <c r="P91" s="64"/>
      <c r="Q91" s="64"/>
      <c r="R91" s="64"/>
      <c r="S91" s="64"/>
      <c r="T91" s="64"/>
      <c r="U91" s="64"/>
      <c r="V91" s="72"/>
      <c r="W91" s="64"/>
      <c r="X91" s="64"/>
      <c r="Y91" s="64"/>
      <c r="Z91" s="64"/>
      <c r="AA91" s="64"/>
      <c r="AB91" s="64"/>
      <c r="AC91" s="64"/>
      <c r="AD91" s="64"/>
      <c r="AE91" s="64"/>
      <c r="AF91" s="64"/>
      <c r="AG91" s="64"/>
      <c r="AH91" s="64"/>
      <c r="AI91" s="64"/>
      <c r="AJ91" s="64"/>
      <c r="AK91" s="64"/>
      <c r="AL91" s="64"/>
      <c r="AM91" s="66"/>
    </row>
    <row r="92" spans="1:39" x14ac:dyDescent="0.2">
      <c r="A92" s="61"/>
      <c r="B92" s="62"/>
      <c r="C92" s="63"/>
      <c r="D92" s="64"/>
      <c r="E92" s="64"/>
      <c r="F92" s="64"/>
      <c r="G92" s="64"/>
      <c r="H92" s="64"/>
      <c r="I92" s="64"/>
      <c r="J92" s="64"/>
      <c r="K92" s="64"/>
      <c r="L92" s="64"/>
      <c r="M92" s="64"/>
      <c r="N92" s="64"/>
      <c r="O92" s="64"/>
      <c r="P92" s="64"/>
      <c r="Q92" s="64"/>
      <c r="R92" s="64"/>
      <c r="S92" s="64"/>
      <c r="T92" s="64"/>
      <c r="U92" s="64"/>
      <c r="V92" s="72"/>
      <c r="W92" s="64"/>
      <c r="X92" s="64"/>
      <c r="Y92" s="64"/>
      <c r="Z92" s="64"/>
      <c r="AA92" s="64"/>
      <c r="AB92" s="64"/>
      <c r="AC92" s="64"/>
      <c r="AD92" s="64"/>
      <c r="AE92" s="64"/>
      <c r="AF92" s="64"/>
      <c r="AG92" s="64"/>
      <c r="AH92" s="64"/>
      <c r="AI92" s="64"/>
      <c r="AJ92" s="64"/>
      <c r="AK92" s="64"/>
      <c r="AL92" s="64"/>
      <c r="AM92" s="66"/>
    </row>
    <row r="93" spans="1:39" x14ac:dyDescent="0.2">
      <c r="A93" s="61"/>
      <c r="B93" s="62"/>
      <c r="C93" s="63"/>
      <c r="D93" s="64"/>
      <c r="E93" s="64"/>
      <c r="F93" s="64"/>
      <c r="G93" s="64"/>
      <c r="H93" s="64"/>
      <c r="I93" s="64"/>
      <c r="J93" s="64"/>
      <c r="K93" s="64"/>
      <c r="L93" s="64"/>
      <c r="M93" s="64"/>
      <c r="N93" s="64"/>
      <c r="O93" s="64"/>
      <c r="P93" s="64"/>
      <c r="Q93" s="64"/>
      <c r="R93" s="64"/>
      <c r="S93" s="64"/>
      <c r="T93" s="64"/>
      <c r="U93" s="64"/>
      <c r="V93" s="72"/>
      <c r="W93" s="64"/>
      <c r="X93" s="64"/>
      <c r="Y93" s="64"/>
      <c r="Z93" s="64"/>
      <c r="AA93" s="64"/>
      <c r="AB93" s="64"/>
      <c r="AC93" s="64"/>
      <c r="AD93" s="64"/>
      <c r="AE93" s="64"/>
      <c r="AF93" s="64"/>
      <c r="AG93" s="64"/>
      <c r="AH93" s="64"/>
      <c r="AI93" s="64"/>
      <c r="AJ93" s="64"/>
      <c r="AK93" s="64"/>
      <c r="AL93" s="64"/>
      <c r="AM93" s="66"/>
    </row>
    <row r="94" spans="1:39" x14ac:dyDescent="0.2">
      <c r="A94" s="61"/>
      <c r="B94" s="62"/>
      <c r="C94" s="63"/>
      <c r="D94" s="64"/>
      <c r="E94" s="64"/>
      <c r="F94" s="64"/>
      <c r="G94" s="64"/>
      <c r="H94" s="64"/>
      <c r="I94" s="64"/>
      <c r="J94" s="64"/>
      <c r="K94" s="64"/>
      <c r="L94" s="64"/>
      <c r="M94" s="64"/>
      <c r="N94" s="64"/>
      <c r="O94" s="64"/>
      <c r="P94" s="64"/>
      <c r="Q94" s="64"/>
      <c r="R94" s="64"/>
      <c r="S94" s="64"/>
      <c r="T94" s="64"/>
      <c r="U94" s="64"/>
      <c r="V94" s="72"/>
      <c r="W94" s="64"/>
      <c r="X94" s="64"/>
      <c r="Y94" s="64"/>
      <c r="Z94" s="64"/>
      <c r="AA94" s="64"/>
      <c r="AB94" s="64"/>
      <c r="AC94" s="64"/>
      <c r="AD94" s="64"/>
      <c r="AE94" s="64"/>
      <c r="AF94" s="64"/>
      <c r="AG94" s="64"/>
      <c r="AH94" s="64"/>
      <c r="AI94" s="64"/>
      <c r="AJ94" s="64"/>
      <c r="AK94" s="64"/>
      <c r="AL94" s="64"/>
      <c r="AM94" s="66"/>
    </row>
    <row r="95" spans="1:39" x14ac:dyDescent="0.2">
      <c r="A95" s="61"/>
      <c r="B95" s="62"/>
      <c r="C95" s="63"/>
      <c r="D95" s="64"/>
      <c r="E95" s="64"/>
      <c r="F95" s="64"/>
      <c r="G95" s="64"/>
      <c r="H95" s="64"/>
      <c r="I95" s="64"/>
      <c r="J95" s="64"/>
      <c r="K95" s="64"/>
      <c r="L95" s="64"/>
      <c r="M95" s="64"/>
      <c r="N95" s="64"/>
      <c r="O95" s="64"/>
      <c r="P95" s="64"/>
      <c r="Q95" s="64"/>
      <c r="R95" s="64"/>
      <c r="S95" s="64"/>
      <c r="T95" s="64"/>
      <c r="U95" s="64"/>
      <c r="V95" s="72"/>
      <c r="W95" s="64"/>
      <c r="X95" s="64"/>
      <c r="Y95" s="64"/>
      <c r="Z95" s="64"/>
      <c r="AA95" s="64"/>
      <c r="AB95" s="64"/>
      <c r="AC95" s="64"/>
      <c r="AD95" s="64"/>
      <c r="AE95" s="64"/>
      <c r="AF95" s="64"/>
      <c r="AG95" s="64"/>
      <c r="AH95" s="64"/>
      <c r="AI95" s="64"/>
      <c r="AJ95" s="64"/>
      <c r="AK95" s="64"/>
      <c r="AL95" s="64"/>
      <c r="AM95" s="66"/>
    </row>
    <row r="96" spans="1:39" x14ac:dyDescent="0.2">
      <c r="A96" s="61"/>
      <c r="B96" s="62"/>
      <c r="C96" s="63"/>
      <c r="D96" s="64"/>
      <c r="E96" s="64"/>
      <c r="F96" s="64"/>
      <c r="G96" s="64"/>
      <c r="H96" s="64"/>
      <c r="I96" s="64"/>
      <c r="J96" s="64"/>
      <c r="K96" s="64"/>
      <c r="L96" s="64"/>
      <c r="M96" s="64"/>
      <c r="N96" s="64"/>
      <c r="O96" s="64"/>
      <c r="P96" s="64"/>
      <c r="Q96" s="64"/>
      <c r="R96" s="64"/>
      <c r="S96" s="64"/>
      <c r="T96" s="64"/>
      <c r="U96" s="64"/>
      <c r="V96" s="72"/>
      <c r="W96" s="64"/>
      <c r="X96" s="64"/>
      <c r="Y96" s="64"/>
      <c r="Z96" s="64"/>
      <c r="AA96" s="64"/>
      <c r="AB96" s="64"/>
      <c r="AC96" s="64"/>
      <c r="AD96" s="64"/>
      <c r="AE96" s="64"/>
      <c r="AF96" s="64"/>
      <c r="AG96" s="64"/>
      <c r="AH96" s="64"/>
      <c r="AI96" s="64"/>
      <c r="AJ96" s="64"/>
      <c r="AK96" s="64"/>
      <c r="AL96" s="64"/>
      <c r="AM96" s="66"/>
    </row>
    <row r="97" spans="1:39" x14ac:dyDescent="0.2">
      <c r="A97" s="61"/>
      <c r="B97" s="62"/>
      <c r="C97" s="63"/>
      <c r="D97" s="64"/>
      <c r="E97" s="64"/>
      <c r="F97" s="64"/>
      <c r="G97" s="64"/>
      <c r="H97" s="64"/>
      <c r="I97" s="64"/>
      <c r="J97" s="64"/>
      <c r="K97" s="64"/>
      <c r="L97" s="64"/>
      <c r="M97" s="64"/>
      <c r="N97" s="64"/>
      <c r="O97" s="64"/>
      <c r="P97" s="64"/>
      <c r="Q97" s="64"/>
      <c r="R97" s="64"/>
      <c r="S97" s="64"/>
      <c r="T97" s="64"/>
      <c r="U97" s="64"/>
      <c r="V97" s="72"/>
      <c r="W97" s="64"/>
      <c r="X97" s="64"/>
      <c r="Y97" s="64"/>
      <c r="Z97" s="64"/>
      <c r="AA97" s="64"/>
      <c r="AB97" s="64"/>
      <c r="AC97" s="64"/>
      <c r="AD97" s="64"/>
      <c r="AE97" s="64"/>
      <c r="AF97" s="64"/>
      <c r="AG97" s="64"/>
      <c r="AH97" s="64"/>
      <c r="AI97" s="64"/>
      <c r="AJ97" s="64"/>
      <c r="AK97" s="64"/>
      <c r="AL97" s="64"/>
      <c r="AM97" s="66"/>
    </row>
    <row r="98" spans="1:39" x14ac:dyDescent="0.2">
      <c r="A98" s="61"/>
      <c r="B98" s="62"/>
      <c r="C98" s="63"/>
      <c r="D98" s="64"/>
      <c r="E98" s="64"/>
      <c r="F98" s="64"/>
      <c r="G98" s="64"/>
      <c r="H98" s="64"/>
      <c r="I98" s="64"/>
      <c r="J98" s="64"/>
      <c r="K98" s="64"/>
      <c r="L98" s="64"/>
      <c r="M98" s="64"/>
      <c r="N98" s="64"/>
      <c r="O98" s="64"/>
      <c r="P98" s="64"/>
      <c r="Q98" s="64"/>
      <c r="R98" s="64"/>
      <c r="S98" s="64"/>
      <c r="T98" s="64"/>
      <c r="U98" s="64"/>
      <c r="V98" s="72"/>
      <c r="W98" s="64"/>
      <c r="X98" s="64"/>
      <c r="Y98" s="64"/>
      <c r="Z98" s="64"/>
      <c r="AA98" s="64"/>
      <c r="AB98" s="64"/>
      <c r="AC98" s="64"/>
      <c r="AD98" s="64"/>
      <c r="AE98" s="64"/>
      <c r="AF98" s="64"/>
      <c r="AG98" s="64"/>
      <c r="AH98" s="64"/>
      <c r="AI98" s="64"/>
      <c r="AJ98" s="64"/>
      <c r="AK98" s="64"/>
      <c r="AL98" s="64"/>
      <c r="AM98" s="66"/>
    </row>
    <row r="99" spans="1:39" x14ac:dyDescent="0.2">
      <c r="A99" s="61"/>
      <c r="B99" s="62"/>
      <c r="C99" s="63"/>
      <c r="D99" s="64"/>
      <c r="E99" s="64"/>
      <c r="F99" s="64"/>
      <c r="G99" s="64"/>
      <c r="H99" s="64"/>
      <c r="I99" s="64"/>
      <c r="J99" s="64"/>
      <c r="K99" s="64"/>
      <c r="L99" s="64"/>
      <c r="M99" s="64"/>
      <c r="N99" s="64"/>
      <c r="O99" s="64"/>
      <c r="P99" s="64"/>
      <c r="Q99" s="64"/>
      <c r="R99" s="64"/>
      <c r="S99" s="64"/>
      <c r="T99" s="64"/>
      <c r="U99" s="64"/>
      <c r="V99" s="72"/>
      <c r="W99" s="64"/>
      <c r="X99" s="64"/>
      <c r="Y99" s="64"/>
      <c r="Z99" s="64"/>
      <c r="AA99" s="64"/>
      <c r="AB99" s="64"/>
      <c r="AC99" s="64"/>
      <c r="AD99" s="64"/>
      <c r="AE99" s="64"/>
      <c r="AF99" s="64"/>
      <c r="AG99" s="64"/>
      <c r="AH99" s="64"/>
      <c r="AI99" s="64"/>
      <c r="AJ99" s="64"/>
      <c r="AK99" s="64"/>
      <c r="AL99" s="64"/>
      <c r="AM99" s="66"/>
    </row>
    <row r="100" spans="1:39" x14ac:dyDescent="0.2">
      <c r="A100" s="61"/>
      <c r="B100" s="62"/>
      <c r="C100" s="63"/>
      <c r="D100" s="64"/>
      <c r="E100" s="64"/>
      <c r="F100" s="64"/>
      <c r="G100" s="64"/>
      <c r="H100" s="64"/>
      <c r="I100" s="64"/>
      <c r="J100" s="64"/>
      <c r="K100" s="64"/>
      <c r="L100" s="64"/>
      <c r="M100" s="64"/>
      <c r="N100" s="64"/>
      <c r="O100" s="64"/>
      <c r="P100" s="64"/>
      <c r="Q100" s="64"/>
      <c r="R100" s="64"/>
      <c r="S100" s="64"/>
      <c r="T100" s="64"/>
      <c r="U100" s="64"/>
      <c r="V100" s="72"/>
      <c r="W100" s="64"/>
      <c r="X100" s="64"/>
      <c r="Y100" s="64"/>
      <c r="Z100" s="64"/>
      <c r="AA100" s="64"/>
      <c r="AB100" s="64"/>
      <c r="AC100" s="64"/>
      <c r="AD100" s="64"/>
      <c r="AE100" s="64"/>
      <c r="AF100" s="64"/>
      <c r="AG100" s="64"/>
      <c r="AH100" s="64"/>
      <c r="AI100" s="64"/>
      <c r="AJ100" s="64"/>
      <c r="AK100" s="64"/>
      <c r="AL100" s="64"/>
      <c r="AM100" s="66"/>
    </row>
    <row r="101" spans="1:39" x14ac:dyDescent="0.2">
      <c r="A101" s="61"/>
      <c r="B101" s="62"/>
      <c r="C101" s="63"/>
      <c r="D101" s="64"/>
      <c r="E101" s="64"/>
      <c r="F101" s="64"/>
      <c r="G101" s="64"/>
      <c r="H101" s="64"/>
      <c r="I101" s="64"/>
      <c r="J101" s="64"/>
      <c r="K101" s="64"/>
      <c r="L101" s="64"/>
      <c r="M101" s="64"/>
      <c r="N101" s="64"/>
      <c r="O101" s="64"/>
      <c r="P101" s="64"/>
      <c r="Q101" s="64"/>
      <c r="R101" s="64"/>
      <c r="S101" s="64"/>
      <c r="T101" s="64"/>
      <c r="U101" s="64"/>
      <c r="V101" s="72"/>
      <c r="W101" s="64"/>
      <c r="X101" s="64"/>
      <c r="Y101" s="64"/>
      <c r="Z101" s="64"/>
      <c r="AA101" s="64"/>
      <c r="AB101" s="64"/>
      <c r="AC101" s="64"/>
      <c r="AD101" s="64"/>
      <c r="AE101" s="64"/>
      <c r="AF101" s="64"/>
      <c r="AG101" s="64"/>
      <c r="AH101" s="64"/>
      <c r="AI101" s="64"/>
      <c r="AJ101" s="64"/>
      <c r="AK101" s="64"/>
      <c r="AL101" s="64"/>
      <c r="AM101" s="66"/>
    </row>
    <row r="102" spans="1:39" x14ac:dyDescent="0.2">
      <c r="A102" s="61"/>
      <c r="B102" s="62"/>
      <c r="C102" s="63"/>
      <c r="D102" s="64"/>
      <c r="E102" s="64"/>
      <c r="F102" s="64"/>
      <c r="G102" s="64"/>
      <c r="H102" s="64"/>
      <c r="I102" s="64"/>
      <c r="J102" s="64"/>
      <c r="K102" s="64"/>
      <c r="L102" s="64"/>
      <c r="M102" s="64"/>
      <c r="N102" s="64"/>
      <c r="O102" s="64"/>
      <c r="P102" s="64"/>
      <c r="Q102" s="64"/>
      <c r="R102" s="64"/>
      <c r="S102" s="64"/>
      <c r="T102" s="64"/>
      <c r="U102" s="64"/>
      <c r="V102" s="72"/>
      <c r="W102" s="64"/>
      <c r="X102" s="64"/>
      <c r="Y102" s="64"/>
      <c r="Z102" s="64"/>
      <c r="AA102" s="64"/>
      <c r="AB102" s="64"/>
      <c r="AC102" s="64"/>
      <c r="AD102" s="64"/>
      <c r="AE102" s="64"/>
      <c r="AF102" s="64"/>
      <c r="AG102" s="64"/>
      <c r="AH102" s="64"/>
      <c r="AI102" s="64"/>
      <c r="AJ102" s="64"/>
      <c r="AK102" s="64"/>
      <c r="AL102" s="64"/>
      <c r="AM102" s="66"/>
    </row>
    <row r="103" spans="1:39" x14ac:dyDescent="0.2">
      <c r="A103" s="61"/>
      <c r="B103" s="62"/>
      <c r="C103" s="63"/>
      <c r="D103" s="64"/>
      <c r="E103" s="64"/>
      <c r="F103" s="64"/>
      <c r="G103" s="64"/>
      <c r="H103" s="64"/>
      <c r="I103" s="64"/>
      <c r="J103" s="64"/>
      <c r="K103" s="64"/>
      <c r="L103" s="64"/>
      <c r="M103" s="64"/>
      <c r="N103" s="64"/>
      <c r="O103" s="64"/>
      <c r="P103" s="64"/>
      <c r="Q103" s="64"/>
      <c r="R103" s="64"/>
      <c r="S103" s="64"/>
      <c r="T103" s="64"/>
      <c r="U103" s="64"/>
      <c r="V103" s="72"/>
      <c r="W103" s="64"/>
      <c r="X103" s="64"/>
      <c r="Y103" s="64"/>
      <c r="Z103" s="64"/>
      <c r="AA103" s="64"/>
      <c r="AB103" s="64"/>
      <c r="AC103" s="64"/>
      <c r="AD103" s="64"/>
      <c r="AE103" s="64"/>
      <c r="AF103" s="64"/>
      <c r="AG103" s="64"/>
      <c r="AH103" s="64"/>
      <c r="AI103" s="64"/>
      <c r="AJ103" s="64"/>
      <c r="AK103" s="64"/>
      <c r="AL103" s="64"/>
      <c r="AM103" s="66"/>
    </row>
    <row r="104" spans="1:39" x14ac:dyDescent="0.2">
      <c r="A104" s="61"/>
      <c r="B104" s="62"/>
      <c r="C104" s="63"/>
      <c r="D104" s="64"/>
      <c r="E104" s="64"/>
      <c r="F104" s="64"/>
      <c r="G104" s="64"/>
      <c r="H104" s="64"/>
      <c r="I104" s="64"/>
      <c r="J104" s="64"/>
      <c r="K104" s="64"/>
      <c r="L104" s="64"/>
      <c r="M104" s="64"/>
      <c r="N104" s="64"/>
      <c r="O104" s="64"/>
      <c r="P104" s="64"/>
      <c r="Q104" s="64"/>
      <c r="R104" s="64"/>
      <c r="S104" s="64"/>
      <c r="T104" s="64"/>
      <c r="U104" s="64"/>
      <c r="V104" s="72"/>
      <c r="W104" s="64"/>
      <c r="X104" s="64"/>
      <c r="Y104" s="64"/>
      <c r="Z104" s="64"/>
      <c r="AA104" s="64"/>
      <c r="AB104" s="64"/>
      <c r="AC104" s="64"/>
      <c r="AD104" s="64"/>
      <c r="AE104" s="64"/>
      <c r="AF104" s="64"/>
      <c r="AG104" s="64"/>
      <c r="AH104" s="64"/>
      <c r="AI104" s="64"/>
      <c r="AJ104" s="64"/>
      <c r="AK104" s="64"/>
      <c r="AL104" s="64"/>
      <c r="AM104" s="66"/>
    </row>
    <row r="105" spans="1:39" x14ac:dyDescent="0.2">
      <c r="A105" s="61"/>
      <c r="B105" s="62"/>
      <c r="C105" s="63"/>
      <c r="D105" s="64"/>
      <c r="E105" s="64"/>
      <c r="F105" s="64"/>
      <c r="G105" s="64"/>
      <c r="H105" s="64"/>
      <c r="I105" s="64"/>
      <c r="J105" s="64"/>
      <c r="K105" s="64"/>
      <c r="L105" s="64"/>
      <c r="M105" s="64"/>
      <c r="N105" s="64"/>
      <c r="O105" s="64"/>
      <c r="P105" s="64"/>
      <c r="Q105" s="64"/>
      <c r="R105" s="64"/>
      <c r="S105" s="64"/>
      <c r="T105" s="64"/>
      <c r="U105" s="64"/>
      <c r="V105" s="72"/>
      <c r="W105" s="64"/>
      <c r="X105" s="64"/>
      <c r="Y105" s="64"/>
      <c r="Z105" s="64"/>
      <c r="AA105" s="64"/>
      <c r="AB105" s="64"/>
      <c r="AC105" s="64"/>
      <c r="AD105" s="64"/>
      <c r="AE105" s="64"/>
      <c r="AF105" s="64"/>
      <c r="AG105" s="64"/>
      <c r="AH105" s="64"/>
      <c r="AI105" s="64"/>
      <c r="AJ105" s="64"/>
      <c r="AK105" s="64"/>
      <c r="AL105" s="64"/>
      <c r="AM105" s="66"/>
    </row>
    <row r="106" spans="1:39" x14ac:dyDescent="0.2">
      <c r="A106" s="61"/>
      <c r="B106" s="62"/>
      <c r="C106" s="63"/>
      <c r="D106" s="64"/>
      <c r="E106" s="64"/>
      <c r="F106" s="64"/>
      <c r="G106" s="64"/>
      <c r="H106" s="64"/>
      <c r="I106" s="64"/>
      <c r="J106" s="64"/>
      <c r="K106" s="64"/>
      <c r="L106" s="64"/>
      <c r="M106" s="64"/>
      <c r="N106" s="64"/>
      <c r="O106" s="64"/>
      <c r="P106" s="64"/>
      <c r="Q106" s="64"/>
      <c r="R106" s="64"/>
      <c r="S106" s="64"/>
      <c r="T106" s="64"/>
      <c r="U106" s="64"/>
      <c r="V106" s="72"/>
      <c r="W106" s="64"/>
      <c r="X106" s="64"/>
      <c r="Y106" s="64"/>
      <c r="Z106" s="64"/>
      <c r="AA106" s="64"/>
      <c r="AB106" s="64"/>
      <c r="AC106" s="64"/>
      <c r="AD106" s="64"/>
      <c r="AE106" s="64"/>
      <c r="AF106" s="64"/>
      <c r="AG106" s="64"/>
      <c r="AH106" s="64"/>
      <c r="AI106" s="64"/>
      <c r="AJ106" s="64"/>
      <c r="AK106" s="64"/>
      <c r="AL106" s="64"/>
      <c r="AM106" s="66"/>
    </row>
    <row r="107" spans="1:39" x14ac:dyDescent="0.2">
      <c r="A107" s="61"/>
      <c r="B107" s="62"/>
      <c r="C107" s="63"/>
      <c r="D107" s="64"/>
      <c r="E107" s="64"/>
      <c r="F107" s="64"/>
      <c r="G107" s="64"/>
      <c r="H107" s="64"/>
      <c r="I107" s="64"/>
      <c r="J107" s="64"/>
      <c r="K107" s="64"/>
      <c r="L107" s="64"/>
      <c r="M107" s="64"/>
      <c r="N107" s="64"/>
      <c r="O107" s="64"/>
      <c r="P107" s="64"/>
      <c r="Q107" s="64"/>
      <c r="R107" s="64"/>
      <c r="S107" s="64"/>
      <c r="T107" s="64"/>
      <c r="U107" s="64"/>
      <c r="V107" s="72"/>
      <c r="W107" s="64"/>
      <c r="X107" s="64"/>
      <c r="Y107" s="64"/>
      <c r="Z107" s="64"/>
      <c r="AA107" s="64"/>
      <c r="AB107" s="64"/>
      <c r="AC107" s="64"/>
      <c r="AD107" s="64"/>
      <c r="AE107" s="64"/>
      <c r="AF107" s="64"/>
      <c r="AG107" s="64"/>
      <c r="AH107" s="64"/>
      <c r="AI107" s="64"/>
      <c r="AJ107" s="64"/>
      <c r="AK107" s="64"/>
      <c r="AL107" s="64"/>
      <c r="AM107" s="66"/>
    </row>
    <row r="108" spans="1:39" x14ac:dyDescent="0.2">
      <c r="A108" s="61"/>
      <c r="B108" s="62"/>
      <c r="C108" s="63"/>
      <c r="D108" s="64"/>
      <c r="E108" s="64"/>
      <c r="F108" s="64"/>
      <c r="G108" s="64"/>
      <c r="H108" s="64"/>
      <c r="I108" s="64"/>
      <c r="J108" s="64"/>
      <c r="K108" s="64"/>
      <c r="L108" s="64"/>
      <c r="M108" s="64"/>
      <c r="N108" s="64"/>
      <c r="O108" s="64"/>
      <c r="P108" s="64"/>
      <c r="Q108" s="64"/>
      <c r="R108" s="64"/>
      <c r="S108" s="64"/>
      <c r="T108" s="64"/>
      <c r="U108" s="64"/>
      <c r="V108" s="72"/>
      <c r="W108" s="64"/>
      <c r="X108" s="64"/>
      <c r="Y108" s="64"/>
      <c r="Z108" s="64"/>
      <c r="AA108" s="64"/>
      <c r="AB108" s="64"/>
      <c r="AC108" s="64"/>
      <c r="AD108" s="64"/>
      <c r="AE108" s="64"/>
      <c r="AF108" s="64"/>
      <c r="AG108" s="64"/>
      <c r="AH108" s="64"/>
      <c r="AI108" s="64"/>
      <c r="AJ108" s="64"/>
      <c r="AK108" s="64"/>
      <c r="AL108" s="64"/>
      <c r="AM108" s="66"/>
    </row>
    <row r="109" spans="1:39" x14ac:dyDescent="0.2">
      <c r="A109" s="61"/>
      <c r="B109" s="62"/>
      <c r="C109" s="63"/>
      <c r="D109" s="64"/>
      <c r="E109" s="64"/>
      <c r="F109" s="64"/>
      <c r="G109" s="64"/>
      <c r="H109" s="64"/>
      <c r="I109" s="64"/>
      <c r="J109" s="64"/>
      <c r="K109" s="64"/>
      <c r="L109" s="64"/>
      <c r="M109" s="64"/>
      <c r="N109" s="64"/>
      <c r="O109" s="64"/>
      <c r="P109" s="64"/>
      <c r="Q109" s="64"/>
      <c r="R109" s="64"/>
      <c r="S109" s="64"/>
      <c r="T109" s="64"/>
      <c r="U109" s="64"/>
      <c r="V109" s="72"/>
      <c r="W109" s="64"/>
      <c r="X109" s="64"/>
      <c r="Y109" s="64"/>
      <c r="Z109" s="64"/>
      <c r="AA109" s="64"/>
      <c r="AB109" s="64"/>
      <c r="AC109" s="64"/>
      <c r="AD109" s="64"/>
      <c r="AE109" s="64"/>
      <c r="AF109" s="64"/>
      <c r="AG109" s="64"/>
      <c r="AH109" s="64"/>
      <c r="AI109" s="64"/>
      <c r="AJ109" s="64"/>
      <c r="AK109" s="64"/>
      <c r="AL109" s="64"/>
      <c r="AM109" s="66"/>
    </row>
    <row r="110" spans="1:39" x14ac:dyDescent="0.2">
      <c r="A110" s="61"/>
      <c r="B110" s="62"/>
      <c r="C110" s="63"/>
      <c r="D110" s="64"/>
      <c r="E110" s="64"/>
      <c r="F110" s="64"/>
      <c r="G110" s="64"/>
      <c r="H110" s="64"/>
      <c r="I110" s="64"/>
      <c r="J110" s="64"/>
      <c r="K110" s="64"/>
      <c r="L110" s="64"/>
      <c r="M110" s="64"/>
      <c r="N110" s="64"/>
      <c r="O110" s="64"/>
      <c r="P110" s="64"/>
      <c r="Q110" s="64"/>
      <c r="R110" s="64"/>
      <c r="S110" s="64"/>
      <c r="T110" s="64"/>
      <c r="U110" s="64"/>
      <c r="V110" s="72"/>
      <c r="W110" s="64"/>
      <c r="X110" s="64"/>
      <c r="Y110" s="64"/>
      <c r="Z110" s="64"/>
      <c r="AA110" s="64"/>
      <c r="AB110" s="64"/>
      <c r="AC110" s="64"/>
      <c r="AD110" s="64"/>
      <c r="AE110" s="64"/>
      <c r="AF110" s="64"/>
      <c r="AG110" s="64"/>
      <c r="AH110" s="64"/>
      <c r="AI110" s="64"/>
      <c r="AJ110" s="64"/>
      <c r="AK110" s="64"/>
      <c r="AL110" s="64"/>
      <c r="AM110" s="66"/>
    </row>
    <row r="111" spans="1:39" x14ac:dyDescent="0.2">
      <c r="A111" s="61"/>
      <c r="B111" s="62"/>
      <c r="C111" s="63"/>
      <c r="D111" s="64"/>
      <c r="E111" s="64"/>
      <c r="F111" s="64"/>
      <c r="G111" s="64"/>
      <c r="H111" s="64"/>
      <c r="I111" s="64"/>
      <c r="J111" s="64"/>
      <c r="K111" s="64"/>
      <c r="L111" s="64"/>
      <c r="M111" s="64"/>
      <c r="N111" s="64"/>
      <c r="O111" s="64"/>
      <c r="P111" s="64"/>
      <c r="Q111" s="64"/>
      <c r="R111" s="64"/>
      <c r="S111" s="64"/>
      <c r="T111" s="64"/>
      <c r="U111" s="64"/>
      <c r="V111" s="72"/>
      <c r="W111" s="64"/>
      <c r="X111" s="64"/>
      <c r="Y111" s="64"/>
      <c r="Z111" s="64"/>
      <c r="AA111" s="64"/>
      <c r="AB111" s="64"/>
      <c r="AC111" s="64"/>
      <c r="AD111" s="64"/>
      <c r="AE111" s="64"/>
      <c r="AF111" s="64"/>
      <c r="AG111" s="64"/>
      <c r="AH111" s="64"/>
      <c r="AI111" s="64"/>
      <c r="AJ111" s="64"/>
      <c r="AK111" s="64"/>
      <c r="AL111" s="64"/>
      <c r="AM111" s="66"/>
    </row>
    <row r="112" spans="1:39" x14ac:dyDescent="0.2">
      <c r="A112" s="61"/>
      <c r="B112" s="62"/>
      <c r="C112" s="63"/>
      <c r="D112" s="64"/>
      <c r="E112" s="64"/>
      <c r="F112" s="64"/>
      <c r="G112" s="64"/>
      <c r="H112" s="64"/>
      <c r="I112" s="64"/>
      <c r="J112" s="64"/>
      <c r="K112" s="64"/>
      <c r="L112" s="64"/>
      <c r="M112" s="64"/>
      <c r="N112" s="64"/>
      <c r="O112" s="64"/>
      <c r="P112" s="64"/>
      <c r="Q112" s="64"/>
      <c r="R112" s="64"/>
      <c r="S112" s="64"/>
      <c r="T112" s="64"/>
      <c r="U112" s="64"/>
      <c r="V112" s="72"/>
      <c r="W112" s="64"/>
      <c r="X112" s="64"/>
      <c r="Y112" s="64"/>
      <c r="Z112" s="64"/>
      <c r="AA112" s="64"/>
      <c r="AB112" s="64"/>
      <c r="AC112" s="64"/>
      <c r="AD112" s="64"/>
      <c r="AE112" s="64"/>
      <c r="AF112" s="64"/>
      <c r="AG112" s="64"/>
      <c r="AH112" s="64"/>
      <c r="AI112" s="64"/>
      <c r="AJ112" s="64"/>
      <c r="AK112" s="64"/>
      <c r="AL112" s="64"/>
      <c r="AM112" s="66"/>
    </row>
    <row r="113" spans="1:39" x14ac:dyDescent="0.2">
      <c r="A113" s="61"/>
      <c r="B113" s="62"/>
      <c r="C113" s="63"/>
      <c r="D113" s="64"/>
      <c r="E113" s="64"/>
      <c r="F113" s="64"/>
      <c r="G113" s="64"/>
      <c r="H113" s="64"/>
      <c r="I113" s="64"/>
      <c r="J113" s="64"/>
      <c r="K113" s="64"/>
      <c r="L113" s="64"/>
      <c r="M113" s="64"/>
      <c r="N113" s="64"/>
      <c r="O113" s="64"/>
      <c r="P113" s="64"/>
      <c r="Q113" s="64"/>
      <c r="R113" s="64"/>
      <c r="S113" s="64"/>
      <c r="T113" s="64"/>
      <c r="U113" s="64"/>
      <c r="V113" s="72"/>
      <c r="W113" s="64"/>
      <c r="X113" s="64"/>
      <c r="Y113" s="64"/>
      <c r="Z113" s="64"/>
      <c r="AA113" s="64"/>
      <c r="AB113" s="64"/>
      <c r="AC113" s="64"/>
      <c r="AD113" s="64"/>
      <c r="AE113" s="64"/>
      <c r="AF113" s="64"/>
      <c r="AG113" s="64"/>
      <c r="AH113" s="64"/>
      <c r="AI113" s="64"/>
      <c r="AJ113" s="64"/>
      <c r="AK113" s="64"/>
      <c r="AL113" s="64"/>
      <c r="AM113" s="66"/>
    </row>
    <row r="114" spans="1:39" x14ac:dyDescent="0.2">
      <c r="A114" s="61"/>
      <c r="B114" s="62"/>
      <c r="C114" s="63"/>
      <c r="D114" s="64"/>
      <c r="E114" s="64"/>
      <c r="F114" s="64"/>
      <c r="G114" s="64"/>
      <c r="H114" s="64"/>
      <c r="I114" s="64"/>
      <c r="J114" s="64"/>
      <c r="K114" s="64"/>
      <c r="L114" s="64"/>
      <c r="M114" s="64"/>
      <c r="N114" s="64"/>
      <c r="O114" s="64"/>
      <c r="P114" s="64"/>
      <c r="Q114" s="64"/>
      <c r="R114" s="64"/>
      <c r="S114" s="64"/>
      <c r="T114" s="64"/>
      <c r="U114" s="64"/>
      <c r="V114" s="72"/>
      <c r="W114" s="64"/>
      <c r="X114" s="64"/>
      <c r="Y114" s="64"/>
      <c r="Z114" s="64"/>
      <c r="AA114" s="64"/>
      <c r="AB114" s="64"/>
      <c r="AC114" s="64"/>
      <c r="AD114" s="64"/>
      <c r="AE114" s="64"/>
      <c r="AF114" s="64"/>
      <c r="AG114" s="64"/>
      <c r="AH114" s="64"/>
      <c r="AI114" s="64"/>
      <c r="AJ114" s="64"/>
      <c r="AK114" s="64"/>
      <c r="AL114" s="64"/>
      <c r="AM114" s="66"/>
    </row>
    <row r="115" spans="1:39" x14ac:dyDescent="0.2">
      <c r="A115" s="61"/>
      <c r="B115" s="62"/>
      <c r="C115" s="63"/>
      <c r="D115" s="64"/>
      <c r="E115" s="64"/>
      <c r="F115" s="64"/>
      <c r="G115" s="64"/>
      <c r="H115" s="64"/>
      <c r="I115" s="64"/>
      <c r="J115" s="64"/>
      <c r="K115" s="64"/>
      <c r="L115" s="64"/>
      <c r="M115" s="64"/>
      <c r="N115" s="64"/>
      <c r="O115" s="64"/>
      <c r="P115" s="64"/>
      <c r="Q115" s="64"/>
      <c r="R115" s="64"/>
      <c r="S115" s="64"/>
      <c r="T115" s="64"/>
      <c r="U115" s="64"/>
      <c r="V115" s="72"/>
      <c r="W115" s="64"/>
      <c r="X115" s="64"/>
      <c r="Y115" s="64"/>
      <c r="Z115" s="64"/>
      <c r="AA115" s="64"/>
      <c r="AB115" s="64"/>
      <c r="AC115" s="64"/>
      <c r="AD115" s="64"/>
      <c r="AE115" s="64"/>
      <c r="AF115" s="64"/>
      <c r="AG115" s="64"/>
      <c r="AH115" s="64"/>
      <c r="AI115" s="64"/>
      <c r="AJ115" s="64"/>
      <c r="AK115" s="64"/>
      <c r="AL115" s="64"/>
      <c r="AM115" s="66"/>
    </row>
    <row r="116" spans="1:39" x14ac:dyDescent="0.2">
      <c r="A116" s="61"/>
      <c r="B116" s="62"/>
      <c r="C116" s="63"/>
      <c r="D116" s="64"/>
      <c r="E116" s="64"/>
      <c r="F116" s="64"/>
      <c r="G116" s="64"/>
      <c r="H116" s="64"/>
      <c r="I116" s="64"/>
      <c r="J116" s="64"/>
      <c r="K116" s="64"/>
      <c r="L116" s="64"/>
      <c r="M116" s="64"/>
      <c r="N116" s="64"/>
      <c r="O116" s="64"/>
      <c r="P116" s="64"/>
      <c r="Q116" s="64"/>
      <c r="R116" s="64"/>
      <c r="S116" s="64"/>
      <c r="T116" s="64"/>
      <c r="U116" s="64"/>
      <c r="V116" s="72"/>
      <c r="W116" s="64"/>
      <c r="X116" s="64"/>
      <c r="Y116" s="64"/>
      <c r="Z116" s="64"/>
      <c r="AA116" s="64"/>
      <c r="AB116" s="64"/>
      <c r="AC116" s="64"/>
      <c r="AD116" s="64"/>
      <c r="AE116" s="64"/>
      <c r="AF116" s="64"/>
      <c r="AG116" s="64"/>
      <c r="AH116" s="64"/>
      <c r="AI116" s="64"/>
      <c r="AJ116" s="64"/>
      <c r="AK116" s="64"/>
      <c r="AL116" s="64"/>
      <c r="AM116" s="66"/>
    </row>
    <row r="117" spans="1:39" x14ac:dyDescent="0.2">
      <c r="A117" s="61"/>
      <c r="B117" s="62"/>
      <c r="C117" s="63"/>
      <c r="D117" s="64"/>
      <c r="E117" s="64"/>
      <c r="F117" s="64"/>
      <c r="G117" s="64"/>
      <c r="H117" s="64"/>
      <c r="I117" s="64"/>
      <c r="J117" s="64"/>
      <c r="K117" s="64"/>
      <c r="L117" s="64"/>
      <c r="M117" s="64"/>
      <c r="N117" s="64"/>
      <c r="O117" s="64"/>
      <c r="P117" s="64"/>
      <c r="Q117" s="64"/>
      <c r="R117" s="64"/>
      <c r="S117" s="64"/>
      <c r="T117" s="64"/>
      <c r="U117" s="64"/>
      <c r="V117" s="72"/>
      <c r="W117" s="64"/>
      <c r="X117" s="64"/>
      <c r="Y117" s="64"/>
      <c r="Z117" s="64"/>
      <c r="AA117" s="64"/>
      <c r="AB117" s="64"/>
      <c r="AC117" s="64"/>
      <c r="AD117" s="64"/>
      <c r="AE117" s="64"/>
      <c r="AF117" s="64"/>
      <c r="AG117" s="64"/>
      <c r="AH117" s="64"/>
      <c r="AI117" s="64"/>
      <c r="AJ117" s="64"/>
      <c r="AK117" s="64"/>
      <c r="AL117" s="64"/>
      <c r="AM117" s="66"/>
    </row>
    <row r="118" spans="1:39" x14ac:dyDescent="0.2">
      <c r="A118" s="61"/>
      <c r="B118" s="62"/>
      <c r="C118" s="63"/>
      <c r="D118" s="64"/>
      <c r="E118" s="64"/>
      <c r="F118" s="64"/>
      <c r="G118" s="64"/>
      <c r="H118" s="64"/>
      <c r="I118" s="64"/>
      <c r="J118" s="64"/>
      <c r="K118" s="64"/>
      <c r="L118" s="64"/>
      <c r="M118" s="64"/>
      <c r="N118" s="64"/>
      <c r="O118" s="64"/>
      <c r="P118" s="64"/>
      <c r="Q118" s="64"/>
      <c r="R118" s="64"/>
      <c r="S118" s="64"/>
      <c r="T118" s="64"/>
      <c r="U118" s="64"/>
      <c r="V118" s="72"/>
      <c r="W118" s="64"/>
      <c r="X118" s="64"/>
      <c r="Y118" s="64"/>
      <c r="Z118" s="64"/>
      <c r="AA118" s="64"/>
      <c r="AB118" s="64"/>
      <c r="AC118" s="64"/>
      <c r="AD118" s="64"/>
      <c r="AE118" s="64"/>
      <c r="AF118" s="64"/>
      <c r="AG118" s="64"/>
      <c r="AH118" s="64"/>
      <c r="AI118" s="64"/>
      <c r="AJ118" s="64"/>
      <c r="AK118" s="64"/>
      <c r="AL118" s="64"/>
      <c r="AM118" s="66"/>
    </row>
    <row r="119" spans="1:39" x14ac:dyDescent="0.2">
      <c r="A119" s="61"/>
      <c r="B119" s="62"/>
      <c r="C119" s="63"/>
      <c r="D119" s="64"/>
      <c r="E119" s="64"/>
      <c r="F119" s="64"/>
      <c r="G119" s="64"/>
      <c r="H119" s="64"/>
      <c r="I119" s="64"/>
      <c r="J119" s="64"/>
      <c r="K119" s="64"/>
      <c r="L119" s="64"/>
      <c r="M119" s="64"/>
      <c r="N119" s="64"/>
      <c r="O119" s="64"/>
      <c r="P119" s="64"/>
      <c r="Q119" s="64"/>
      <c r="R119" s="64"/>
      <c r="S119" s="64"/>
      <c r="T119" s="64"/>
      <c r="U119" s="64"/>
      <c r="V119" s="72"/>
      <c r="W119" s="64"/>
      <c r="X119" s="64"/>
      <c r="Y119" s="64"/>
      <c r="Z119" s="64"/>
      <c r="AA119" s="64"/>
      <c r="AB119" s="64"/>
      <c r="AC119" s="64"/>
      <c r="AD119" s="64"/>
      <c r="AE119" s="64"/>
      <c r="AF119" s="64"/>
      <c r="AG119" s="64"/>
      <c r="AH119" s="64"/>
      <c r="AI119" s="64"/>
      <c r="AJ119" s="64"/>
      <c r="AK119" s="64"/>
      <c r="AL119" s="64"/>
      <c r="AM119" s="66"/>
    </row>
    <row r="120" spans="1:39" x14ac:dyDescent="0.2">
      <c r="A120" s="61"/>
      <c r="B120" s="62"/>
      <c r="C120" s="63"/>
      <c r="D120" s="64"/>
      <c r="E120" s="64"/>
      <c r="F120" s="64"/>
      <c r="G120" s="64"/>
      <c r="H120" s="64"/>
      <c r="I120" s="64"/>
      <c r="J120" s="64"/>
      <c r="K120" s="64"/>
      <c r="L120" s="64"/>
      <c r="M120" s="64"/>
      <c r="N120" s="64"/>
      <c r="O120" s="64"/>
      <c r="P120" s="64"/>
      <c r="Q120" s="64"/>
      <c r="R120" s="64"/>
      <c r="S120" s="64"/>
      <c r="T120" s="64"/>
      <c r="U120" s="64"/>
      <c r="V120" s="72"/>
      <c r="W120" s="64"/>
      <c r="X120" s="64"/>
      <c r="Y120" s="64"/>
      <c r="Z120" s="64"/>
      <c r="AA120" s="64"/>
      <c r="AB120" s="64"/>
      <c r="AC120" s="64"/>
      <c r="AD120" s="64"/>
      <c r="AE120" s="64"/>
      <c r="AF120" s="64"/>
      <c r="AG120" s="64"/>
      <c r="AH120" s="64"/>
      <c r="AI120" s="64"/>
      <c r="AJ120" s="64"/>
      <c r="AK120" s="64"/>
      <c r="AL120" s="64"/>
      <c r="AM120" s="66"/>
    </row>
    <row r="121" spans="1:39" x14ac:dyDescent="0.2">
      <c r="A121" s="61"/>
      <c r="B121" s="62"/>
      <c r="C121" s="63"/>
      <c r="D121" s="64"/>
      <c r="E121" s="64"/>
      <c r="F121" s="64"/>
      <c r="G121" s="64"/>
      <c r="H121" s="64"/>
      <c r="I121" s="64"/>
      <c r="J121" s="64"/>
      <c r="K121" s="64"/>
      <c r="L121" s="64"/>
      <c r="M121" s="64"/>
      <c r="N121" s="64"/>
      <c r="O121" s="64"/>
      <c r="P121" s="64"/>
      <c r="Q121" s="64"/>
      <c r="R121" s="64"/>
      <c r="S121" s="64"/>
      <c r="T121" s="64"/>
      <c r="U121" s="64"/>
      <c r="V121" s="72"/>
      <c r="W121" s="64"/>
      <c r="X121" s="64"/>
      <c r="Y121" s="64"/>
      <c r="Z121" s="64"/>
      <c r="AA121" s="64"/>
      <c r="AB121" s="64"/>
      <c r="AC121" s="64"/>
      <c r="AD121" s="64"/>
      <c r="AE121" s="64"/>
      <c r="AF121" s="64"/>
      <c r="AG121" s="64"/>
      <c r="AH121" s="64"/>
      <c r="AI121" s="64"/>
      <c r="AJ121" s="64"/>
      <c r="AK121" s="64"/>
      <c r="AL121" s="64"/>
      <c r="AM121" s="66"/>
    </row>
    <row r="122" spans="1:39" x14ac:dyDescent="0.2">
      <c r="A122" s="61"/>
      <c r="B122" s="62"/>
      <c r="C122" s="63"/>
      <c r="D122" s="64"/>
      <c r="E122" s="64"/>
      <c r="F122" s="64"/>
      <c r="G122" s="64"/>
      <c r="H122" s="64"/>
      <c r="I122" s="64"/>
      <c r="J122" s="64"/>
      <c r="K122" s="64"/>
      <c r="L122" s="64"/>
      <c r="M122" s="64"/>
      <c r="N122" s="64"/>
      <c r="O122" s="64"/>
      <c r="P122" s="64"/>
      <c r="Q122" s="64"/>
      <c r="R122" s="64"/>
      <c r="S122" s="64"/>
      <c r="T122" s="64"/>
      <c r="U122" s="64"/>
      <c r="V122" s="72"/>
      <c r="W122" s="64"/>
      <c r="X122" s="64"/>
      <c r="Y122" s="64"/>
      <c r="Z122" s="64"/>
      <c r="AA122" s="64"/>
      <c r="AB122" s="64"/>
      <c r="AC122" s="64"/>
      <c r="AD122" s="64"/>
      <c r="AE122" s="64"/>
      <c r="AF122" s="64"/>
      <c r="AG122" s="64"/>
      <c r="AH122" s="64"/>
      <c r="AI122" s="64"/>
      <c r="AJ122" s="64"/>
      <c r="AK122" s="64"/>
      <c r="AL122" s="64"/>
      <c r="AM122" s="66"/>
    </row>
    <row r="123" spans="1:39" x14ac:dyDescent="0.2">
      <c r="A123" s="61"/>
      <c r="B123" s="62"/>
      <c r="C123" s="63"/>
      <c r="D123" s="64"/>
      <c r="E123" s="64"/>
      <c r="F123" s="64"/>
      <c r="G123" s="64"/>
      <c r="H123" s="64"/>
      <c r="I123" s="64"/>
      <c r="J123" s="64"/>
      <c r="K123" s="64"/>
      <c r="L123" s="64"/>
      <c r="M123" s="64"/>
      <c r="N123" s="64"/>
      <c r="O123" s="64"/>
      <c r="P123" s="64"/>
      <c r="Q123" s="64"/>
      <c r="R123" s="64"/>
      <c r="S123" s="64"/>
      <c r="T123" s="64"/>
      <c r="U123" s="64"/>
      <c r="V123" s="72"/>
      <c r="W123" s="64"/>
      <c r="X123" s="64"/>
      <c r="Y123" s="64"/>
      <c r="Z123" s="64"/>
      <c r="AA123" s="64"/>
      <c r="AB123" s="64"/>
      <c r="AC123" s="64"/>
      <c r="AD123" s="64"/>
      <c r="AE123" s="64"/>
      <c r="AF123" s="64"/>
      <c r="AG123" s="64"/>
      <c r="AH123" s="64"/>
      <c r="AI123" s="64"/>
      <c r="AJ123" s="64"/>
      <c r="AK123" s="64"/>
      <c r="AL123" s="64"/>
      <c r="AM123" s="66"/>
    </row>
    <row r="124" spans="1:39" x14ac:dyDescent="0.2">
      <c r="A124" s="61"/>
      <c r="B124" s="62"/>
      <c r="C124" s="63"/>
      <c r="D124" s="64"/>
      <c r="E124" s="64"/>
      <c r="F124" s="64"/>
      <c r="G124" s="64"/>
      <c r="H124" s="64"/>
      <c r="I124" s="64"/>
      <c r="J124" s="64"/>
      <c r="K124" s="64"/>
      <c r="L124" s="64"/>
      <c r="M124" s="64"/>
      <c r="N124" s="64"/>
      <c r="O124" s="64"/>
      <c r="P124" s="64"/>
      <c r="Q124" s="64"/>
      <c r="R124" s="64"/>
      <c r="S124" s="64"/>
      <c r="T124" s="64"/>
      <c r="U124" s="64"/>
      <c r="V124" s="72"/>
      <c r="W124" s="64"/>
      <c r="X124" s="64"/>
      <c r="Y124" s="64"/>
      <c r="Z124" s="64"/>
      <c r="AA124" s="64"/>
      <c r="AB124" s="64"/>
      <c r="AC124" s="64"/>
      <c r="AD124" s="64"/>
      <c r="AE124" s="64"/>
      <c r="AF124" s="64"/>
      <c r="AG124" s="64"/>
      <c r="AH124" s="64"/>
      <c r="AI124" s="64"/>
      <c r="AJ124" s="64"/>
      <c r="AK124" s="64"/>
      <c r="AL124" s="64"/>
      <c r="AM124" s="66"/>
    </row>
    <row r="125" spans="1:39" x14ac:dyDescent="0.2">
      <c r="A125" s="61"/>
      <c r="B125" s="62"/>
      <c r="C125" s="63"/>
      <c r="D125" s="64"/>
      <c r="E125" s="64"/>
      <c r="F125" s="64"/>
      <c r="G125" s="64"/>
      <c r="H125" s="64"/>
      <c r="I125" s="64"/>
      <c r="J125" s="64"/>
      <c r="K125" s="64"/>
      <c r="L125" s="64"/>
      <c r="M125" s="64"/>
      <c r="N125" s="64"/>
      <c r="O125" s="64"/>
      <c r="P125" s="64"/>
      <c r="Q125" s="64"/>
      <c r="R125" s="64"/>
      <c r="S125" s="64"/>
      <c r="T125" s="64"/>
      <c r="U125" s="64"/>
      <c r="V125" s="72"/>
      <c r="W125" s="64"/>
      <c r="X125" s="64"/>
      <c r="Y125" s="64"/>
      <c r="Z125" s="64"/>
      <c r="AA125" s="64"/>
      <c r="AB125" s="64"/>
      <c r="AC125" s="64"/>
      <c r="AD125" s="64"/>
      <c r="AE125" s="64"/>
      <c r="AF125" s="64"/>
      <c r="AG125" s="64"/>
      <c r="AH125" s="64"/>
      <c r="AI125" s="64"/>
      <c r="AJ125" s="64"/>
      <c r="AK125" s="64"/>
      <c r="AL125" s="64"/>
      <c r="AM125" s="66"/>
    </row>
    <row r="126" spans="1:39" x14ac:dyDescent="0.2">
      <c r="A126" s="61"/>
      <c r="B126" s="62"/>
      <c r="C126" s="63"/>
      <c r="D126" s="64"/>
      <c r="E126" s="64"/>
      <c r="F126" s="64"/>
      <c r="G126" s="64"/>
      <c r="H126" s="64"/>
      <c r="I126" s="64"/>
      <c r="J126" s="64"/>
      <c r="K126" s="64"/>
      <c r="L126" s="64"/>
      <c r="M126" s="64"/>
      <c r="N126" s="64"/>
      <c r="O126" s="64"/>
      <c r="P126" s="64"/>
      <c r="Q126" s="64"/>
      <c r="R126" s="64"/>
      <c r="S126" s="64"/>
      <c r="T126" s="64"/>
      <c r="U126" s="64"/>
      <c r="V126" s="72"/>
      <c r="W126" s="64"/>
      <c r="X126" s="64"/>
      <c r="Y126" s="64"/>
      <c r="Z126" s="64"/>
      <c r="AA126" s="64"/>
      <c r="AB126" s="64"/>
      <c r="AC126" s="64"/>
      <c r="AD126" s="64"/>
      <c r="AE126" s="64"/>
      <c r="AF126" s="64"/>
      <c r="AG126" s="64"/>
      <c r="AH126" s="64"/>
      <c r="AI126" s="64"/>
      <c r="AJ126" s="64"/>
      <c r="AK126" s="64"/>
      <c r="AL126" s="64"/>
      <c r="AM126" s="66"/>
    </row>
    <row r="127" spans="1:39" x14ac:dyDescent="0.2">
      <c r="A127" s="61"/>
      <c r="B127" s="62"/>
      <c r="C127" s="63"/>
      <c r="D127" s="64"/>
      <c r="E127" s="64"/>
      <c r="F127" s="64"/>
      <c r="G127" s="64"/>
      <c r="H127" s="64"/>
      <c r="I127" s="64"/>
      <c r="J127" s="64"/>
      <c r="K127" s="64"/>
      <c r="L127" s="64"/>
      <c r="M127" s="64"/>
      <c r="N127" s="64"/>
      <c r="O127" s="64"/>
      <c r="P127" s="64"/>
      <c r="Q127" s="64"/>
      <c r="R127" s="64"/>
      <c r="S127" s="64"/>
      <c r="T127" s="64"/>
      <c r="U127" s="64"/>
      <c r="V127" s="72"/>
      <c r="W127" s="64"/>
      <c r="X127" s="64"/>
      <c r="Y127" s="64"/>
      <c r="Z127" s="64"/>
      <c r="AA127" s="64"/>
      <c r="AB127" s="64"/>
      <c r="AC127" s="64"/>
      <c r="AD127" s="64"/>
      <c r="AE127" s="64"/>
      <c r="AF127" s="64"/>
      <c r="AG127" s="64"/>
      <c r="AH127" s="64"/>
      <c r="AI127" s="64"/>
      <c r="AJ127" s="64"/>
      <c r="AK127" s="64"/>
      <c r="AL127" s="64"/>
      <c r="AM127" s="66"/>
    </row>
    <row r="128" spans="1:39" x14ac:dyDescent="0.2">
      <c r="A128" s="61"/>
      <c r="B128" s="62"/>
      <c r="C128" s="63"/>
      <c r="D128" s="64"/>
      <c r="E128" s="64"/>
      <c r="F128" s="64"/>
      <c r="G128" s="64"/>
      <c r="H128" s="64"/>
      <c r="I128" s="64"/>
      <c r="J128" s="64"/>
      <c r="K128" s="64"/>
      <c r="L128" s="64"/>
      <c r="M128" s="64"/>
      <c r="N128" s="64"/>
      <c r="O128" s="64"/>
      <c r="P128" s="64"/>
      <c r="Q128" s="64"/>
      <c r="R128" s="64"/>
      <c r="S128" s="64"/>
      <c r="T128" s="64"/>
      <c r="U128" s="64"/>
      <c r="V128" s="72"/>
      <c r="W128" s="64"/>
      <c r="X128" s="64"/>
      <c r="Y128" s="64"/>
      <c r="Z128" s="64"/>
      <c r="AA128" s="64"/>
      <c r="AB128" s="64"/>
      <c r="AC128" s="64"/>
      <c r="AD128" s="64"/>
      <c r="AE128" s="64"/>
      <c r="AF128" s="64"/>
      <c r="AG128" s="64"/>
      <c r="AH128" s="64"/>
      <c r="AI128" s="64"/>
      <c r="AJ128" s="64"/>
      <c r="AK128" s="64"/>
      <c r="AL128" s="64"/>
      <c r="AM128" s="66"/>
    </row>
    <row r="129" spans="1:39" x14ac:dyDescent="0.2">
      <c r="A129" s="61"/>
      <c r="B129" s="62"/>
      <c r="C129" s="63"/>
      <c r="D129" s="64"/>
      <c r="E129" s="64"/>
      <c r="F129" s="64"/>
      <c r="G129" s="64"/>
      <c r="H129" s="64"/>
      <c r="I129" s="64"/>
      <c r="J129" s="64"/>
      <c r="K129" s="64"/>
      <c r="L129" s="64"/>
      <c r="M129" s="64"/>
      <c r="N129" s="64"/>
      <c r="O129" s="64"/>
      <c r="P129" s="64"/>
      <c r="Q129" s="64"/>
      <c r="R129" s="64"/>
      <c r="S129" s="64"/>
      <c r="T129" s="64"/>
      <c r="U129" s="64"/>
      <c r="V129" s="72"/>
      <c r="W129" s="64"/>
      <c r="X129" s="64"/>
      <c r="Y129" s="64"/>
      <c r="Z129" s="64"/>
      <c r="AA129" s="64"/>
      <c r="AB129" s="64"/>
      <c r="AC129" s="64"/>
      <c r="AD129" s="64"/>
      <c r="AE129" s="64"/>
      <c r="AF129" s="64"/>
      <c r="AG129" s="64"/>
      <c r="AH129" s="64"/>
      <c r="AI129" s="64"/>
      <c r="AJ129" s="64"/>
      <c r="AK129" s="64"/>
      <c r="AL129" s="64"/>
      <c r="AM129" s="66"/>
    </row>
    <row r="130" spans="1:39" x14ac:dyDescent="0.2">
      <c r="A130" s="61"/>
      <c r="B130" s="62"/>
      <c r="C130" s="63"/>
      <c r="D130" s="64"/>
      <c r="E130" s="64"/>
      <c r="F130" s="64"/>
      <c r="G130" s="64"/>
      <c r="H130" s="64"/>
      <c r="I130" s="64"/>
      <c r="J130" s="64"/>
      <c r="K130" s="64"/>
      <c r="L130" s="64"/>
      <c r="M130" s="64"/>
      <c r="N130" s="64"/>
      <c r="O130" s="64"/>
      <c r="P130" s="64"/>
      <c r="Q130" s="64"/>
      <c r="R130" s="64"/>
      <c r="S130" s="64"/>
      <c r="T130" s="64"/>
      <c r="U130" s="64"/>
      <c r="V130" s="72"/>
      <c r="W130" s="64"/>
      <c r="X130" s="64"/>
      <c r="Y130" s="64"/>
      <c r="Z130" s="64"/>
      <c r="AA130" s="64"/>
      <c r="AB130" s="64"/>
      <c r="AC130" s="64"/>
      <c r="AD130" s="64"/>
      <c r="AE130" s="64"/>
      <c r="AF130" s="64"/>
      <c r="AG130" s="64"/>
      <c r="AH130" s="64"/>
      <c r="AI130" s="64"/>
      <c r="AJ130" s="64"/>
      <c r="AK130" s="64"/>
      <c r="AL130" s="64"/>
      <c r="AM130" s="66"/>
    </row>
    <row r="131" spans="1:39" x14ac:dyDescent="0.2">
      <c r="A131" s="61"/>
      <c r="B131" s="62"/>
      <c r="C131" s="63"/>
      <c r="D131" s="64"/>
      <c r="E131" s="64"/>
      <c r="F131" s="64"/>
      <c r="G131" s="64"/>
      <c r="H131" s="64"/>
      <c r="I131" s="64"/>
      <c r="J131" s="64"/>
      <c r="K131" s="64"/>
      <c r="L131" s="64"/>
      <c r="M131" s="64"/>
      <c r="N131" s="64"/>
      <c r="O131" s="64"/>
      <c r="P131" s="64"/>
      <c r="Q131" s="64"/>
      <c r="R131" s="64"/>
      <c r="S131" s="64"/>
      <c r="T131" s="64"/>
      <c r="U131" s="64"/>
      <c r="V131" s="72"/>
      <c r="W131" s="64"/>
      <c r="X131" s="64"/>
      <c r="Y131" s="64"/>
      <c r="Z131" s="64"/>
      <c r="AA131" s="64"/>
      <c r="AB131" s="64"/>
      <c r="AC131" s="64"/>
      <c r="AD131" s="64"/>
      <c r="AE131" s="64"/>
      <c r="AF131" s="64"/>
      <c r="AG131" s="64"/>
      <c r="AH131" s="64"/>
      <c r="AI131" s="64"/>
      <c r="AJ131" s="64"/>
      <c r="AK131" s="64"/>
      <c r="AL131" s="64"/>
      <c r="AM131" s="66"/>
    </row>
    <row r="132" spans="1:39" x14ac:dyDescent="0.2">
      <c r="A132" s="61"/>
      <c r="B132" s="62"/>
      <c r="C132" s="63"/>
      <c r="D132" s="64"/>
      <c r="E132" s="64"/>
      <c r="F132" s="64"/>
      <c r="G132" s="64"/>
      <c r="H132" s="64"/>
      <c r="I132" s="64"/>
      <c r="J132" s="64"/>
      <c r="K132" s="64"/>
      <c r="L132" s="64"/>
      <c r="M132" s="64"/>
      <c r="N132" s="64"/>
      <c r="O132" s="64"/>
      <c r="P132" s="64"/>
      <c r="Q132" s="64"/>
      <c r="R132" s="64"/>
      <c r="S132" s="64"/>
      <c r="T132" s="64"/>
      <c r="U132" s="64"/>
      <c r="V132" s="72"/>
      <c r="W132" s="64"/>
      <c r="X132" s="64"/>
      <c r="Y132" s="64"/>
      <c r="Z132" s="64"/>
      <c r="AA132" s="64"/>
      <c r="AB132" s="64"/>
      <c r="AC132" s="64"/>
      <c r="AD132" s="64"/>
      <c r="AE132" s="64"/>
      <c r="AF132" s="64"/>
      <c r="AG132" s="64"/>
      <c r="AH132" s="64"/>
      <c r="AI132" s="64"/>
      <c r="AJ132" s="64"/>
      <c r="AK132" s="64"/>
      <c r="AL132" s="64"/>
      <c r="AM132" s="66"/>
    </row>
    <row r="133" spans="1:39" x14ac:dyDescent="0.2">
      <c r="A133" s="61"/>
      <c r="B133" s="62"/>
      <c r="C133" s="63"/>
      <c r="D133" s="64"/>
      <c r="E133" s="64"/>
      <c r="F133" s="64"/>
      <c r="G133" s="64"/>
      <c r="H133" s="64"/>
      <c r="I133" s="64"/>
      <c r="J133" s="64"/>
      <c r="K133" s="64"/>
      <c r="L133" s="64"/>
      <c r="M133" s="64"/>
      <c r="N133" s="64"/>
      <c r="O133" s="64"/>
      <c r="P133" s="64"/>
      <c r="Q133" s="64"/>
      <c r="R133" s="64"/>
      <c r="S133" s="64"/>
      <c r="T133" s="64"/>
      <c r="U133" s="64"/>
      <c r="V133" s="72"/>
      <c r="W133" s="64"/>
      <c r="X133" s="64"/>
      <c r="Y133" s="64"/>
      <c r="Z133" s="64"/>
      <c r="AA133" s="64"/>
      <c r="AB133" s="64"/>
      <c r="AC133" s="64"/>
      <c r="AD133" s="64"/>
      <c r="AE133" s="64"/>
      <c r="AF133" s="64"/>
      <c r="AG133" s="64"/>
      <c r="AH133" s="64"/>
      <c r="AI133" s="64"/>
      <c r="AJ133" s="64"/>
      <c r="AK133" s="64"/>
      <c r="AL133" s="64"/>
      <c r="AM133" s="66"/>
    </row>
    <row r="134" spans="1:39" x14ac:dyDescent="0.2">
      <c r="A134" s="61"/>
      <c r="B134" s="62"/>
      <c r="C134" s="63"/>
      <c r="D134" s="64"/>
      <c r="E134" s="64"/>
      <c r="F134" s="64"/>
      <c r="G134" s="64"/>
      <c r="H134" s="64"/>
      <c r="I134" s="64"/>
      <c r="J134" s="64"/>
      <c r="K134" s="64"/>
      <c r="L134" s="64"/>
      <c r="M134" s="64"/>
      <c r="N134" s="64"/>
      <c r="O134" s="64"/>
      <c r="P134" s="64"/>
      <c r="Q134" s="64"/>
      <c r="R134" s="64"/>
      <c r="S134" s="64"/>
      <c r="T134" s="64"/>
      <c r="U134" s="64"/>
      <c r="V134" s="72"/>
      <c r="W134" s="64"/>
      <c r="X134" s="64"/>
      <c r="Y134" s="64"/>
      <c r="Z134" s="64"/>
      <c r="AA134" s="64"/>
      <c r="AB134" s="64"/>
      <c r="AC134" s="64"/>
      <c r="AD134" s="64"/>
      <c r="AE134" s="64"/>
      <c r="AF134" s="64"/>
      <c r="AG134" s="64"/>
      <c r="AH134" s="64"/>
      <c r="AI134" s="64"/>
      <c r="AJ134" s="64"/>
      <c r="AK134" s="64"/>
      <c r="AL134" s="64"/>
      <c r="AM134" s="66"/>
    </row>
    <row r="135" spans="1:39" x14ac:dyDescent="0.2">
      <c r="A135" s="61"/>
      <c r="B135" s="62"/>
      <c r="C135" s="63"/>
      <c r="D135" s="64"/>
      <c r="E135" s="64"/>
      <c r="F135" s="64"/>
      <c r="G135" s="64"/>
      <c r="H135" s="64"/>
      <c r="I135" s="64"/>
      <c r="J135" s="64"/>
      <c r="K135" s="64"/>
      <c r="L135" s="64"/>
      <c r="M135" s="64"/>
      <c r="N135" s="64"/>
      <c r="O135" s="64"/>
      <c r="P135" s="64"/>
      <c r="Q135" s="64"/>
      <c r="R135" s="64"/>
      <c r="S135" s="64"/>
      <c r="T135" s="64"/>
      <c r="U135" s="64"/>
      <c r="V135" s="72"/>
      <c r="W135" s="64"/>
      <c r="X135" s="64"/>
      <c r="Y135" s="64"/>
      <c r="Z135" s="64"/>
      <c r="AA135" s="64"/>
      <c r="AB135" s="64"/>
      <c r="AC135" s="64"/>
      <c r="AD135" s="64"/>
      <c r="AE135" s="64"/>
      <c r="AF135" s="64"/>
      <c r="AG135" s="64"/>
      <c r="AH135" s="64"/>
      <c r="AI135" s="64"/>
      <c r="AJ135" s="64"/>
      <c r="AK135" s="64"/>
      <c r="AL135" s="64"/>
      <c r="AM135" s="66"/>
    </row>
    <row r="136" spans="1:39" x14ac:dyDescent="0.2">
      <c r="A136" s="61"/>
      <c r="B136" s="62"/>
      <c r="C136" s="63"/>
      <c r="D136" s="64"/>
      <c r="E136" s="64"/>
      <c r="F136" s="64"/>
      <c r="G136" s="64"/>
      <c r="H136" s="64"/>
      <c r="I136" s="64"/>
      <c r="J136" s="64"/>
      <c r="K136" s="64"/>
      <c r="L136" s="64"/>
      <c r="M136" s="64"/>
      <c r="N136" s="64"/>
      <c r="O136" s="64"/>
      <c r="P136" s="64"/>
      <c r="Q136" s="64"/>
      <c r="R136" s="64"/>
      <c r="S136" s="64"/>
      <c r="T136" s="64"/>
      <c r="U136" s="64"/>
      <c r="V136" s="72"/>
      <c r="W136" s="64"/>
      <c r="X136" s="64"/>
      <c r="Y136" s="64"/>
      <c r="Z136" s="64"/>
      <c r="AA136" s="64"/>
      <c r="AB136" s="64"/>
      <c r="AC136" s="64"/>
      <c r="AD136" s="64"/>
      <c r="AE136" s="64"/>
      <c r="AF136" s="64"/>
      <c r="AG136" s="64"/>
      <c r="AH136" s="64"/>
      <c r="AI136" s="64"/>
      <c r="AJ136" s="64"/>
      <c r="AK136" s="64"/>
      <c r="AL136" s="64"/>
      <c r="AM136" s="66"/>
    </row>
    <row r="137" spans="1:39" x14ac:dyDescent="0.2">
      <c r="A137" s="61"/>
      <c r="B137" s="62"/>
      <c r="C137" s="63"/>
      <c r="D137" s="64"/>
      <c r="E137" s="64"/>
      <c r="F137" s="64"/>
      <c r="G137" s="64"/>
      <c r="H137" s="64"/>
      <c r="I137" s="64"/>
      <c r="J137" s="64"/>
      <c r="K137" s="64"/>
      <c r="L137" s="64"/>
      <c r="M137" s="64"/>
      <c r="N137" s="64"/>
      <c r="O137" s="64"/>
      <c r="P137" s="64"/>
      <c r="Q137" s="64"/>
      <c r="R137" s="64"/>
      <c r="S137" s="64"/>
      <c r="T137" s="64"/>
      <c r="U137" s="64"/>
      <c r="V137" s="72"/>
      <c r="W137" s="64"/>
      <c r="X137" s="64"/>
      <c r="Y137" s="64"/>
      <c r="Z137" s="64"/>
      <c r="AA137" s="64"/>
      <c r="AB137" s="64"/>
      <c r="AC137" s="64"/>
      <c r="AD137" s="64"/>
      <c r="AE137" s="64"/>
      <c r="AF137" s="64"/>
      <c r="AG137" s="64"/>
      <c r="AH137" s="64"/>
      <c r="AI137" s="64"/>
      <c r="AJ137" s="64"/>
      <c r="AK137" s="64"/>
      <c r="AL137" s="64"/>
      <c r="AM137" s="66"/>
    </row>
    <row r="138" spans="1:39" x14ac:dyDescent="0.2">
      <c r="A138" s="61"/>
      <c r="B138" s="62"/>
      <c r="C138" s="63"/>
      <c r="D138" s="64"/>
      <c r="E138" s="64"/>
      <c r="F138" s="64"/>
      <c r="G138" s="64"/>
      <c r="H138" s="64"/>
      <c r="I138" s="64"/>
      <c r="J138" s="64"/>
      <c r="K138" s="64"/>
      <c r="L138" s="64"/>
      <c r="M138" s="64"/>
      <c r="N138" s="64"/>
      <c r="O138" s="64"/>
      <c r="P138" s="64"/>
      <c r="Q138" s="64"/>
      <c r="R138" s="64"/>
      <c r="S138" s="64"/>
      <c r="T138" s="64"/>
      <c r="U138" s="64"/>
      <c r="V138" s="72"/>
      <c r="W138" s="64"/>
      <c r="X138" s="64"/>
      <c r="Y138" s="64"/>
      <c r="Z138" s="64"/>
      <c r="AA138" s="64"/>
      <c r="AB138" s="64"/>
      <c r="AC138" s="64"/>
      <c r="AD138" s="64"/>
      <c r="AE138" s="64"/>
      <c r="AF138" s="64"/>
      <c r="AG138" s="64"/>
      <c r="AH138" s="64"/>
      <c r="AI138" s="64"/>
      <c r="AJ138" s="64"/>
      <c r="AK138" s="64"/>
      <c r="AL138" s="64"/>
      <c r="AM138" s="66"/>
    </row>
    <row r="139" spans="1:39" x14ac:dyDescent="0.2">
      <c r="A139" s="61"/>
      <c r="B139" s="62"/>
      <c r="C139" s="63"/>
      <c r="D139" s="64"/>
      <c r="E139" s="64"/>
      <c r="F139" s="64"/>
      <c r="G139" s="64"/>
      <c r="H139" s="64"/>
      <c r="I139" s="64"/>
      <c r="J139" s="64"/>
      <c r="K139" s="64"/>
      <c r="L139" s="64"/>
      <c r="M139" s="64"/>
      <c r="N139" s="64"/>
      <c r="O139" s="64"/>
      <c r="P139" s="64"/>
      <c r="Q139" s="64"/>
      <c r="R139" s="64"/>
      <c r="S139" s="64"/>
      <c r="T139" s="64"/>
      <c r="U139" s="64"/>
      <c r="V139" s="72"/>
      <c r="W139" s="64"/>
      <c r="X139" s="64"/>
      <c r="Y139" s="64"/>
      <c r="Z139" s="64"/>
      <c r="AA139" s="64"/>
      <c r="AB139" s="64"/>
      <c r="AC139" s="64"/>
      <c r="AD139" s="64"/>
      <c r="AE139" s="64"/>
      <c r="AF139" s="64"/>
      <c r="AG139" s="64"/>
      <c r="AH139" s="64"/>
      <c r="AI139" s="64"/>
      <c r="AJ139" s="64"/>
      <c r="AK139" s="64"/>
      <c r="AL139" s="64"/>
      <c r="AM139" s="66"/>
    </row>
    <row r="140" spans="1:39" x14ac:dyDescent="0.2">
      <c r="A140" s="61"/>
      <c r="B140" s="62"/>
      <c r="C140" s="63"/>
      <c r="D140" s="64"/>
      <c r="E140" s="64"/>
      <c r="F140" s="64"/>
      <c r="G140" s="64"/>
      <c r="H140" s="64"/>
      <c r="I140" s="64"/>
      <c r="J140" s="64"/>
      <c r="K140" s="64"/>
      <c r="L140" s="64"/>
      <c r="M140" s="64"/>
      <c r="N140" s="64"/>
      <c r="O140" s="64"/>
      <c r="P140" s="64"/>
      <c r="Q140" s="64"/>
      <c r="R140" s="64"/>
      <c r="S140" s="64"/>
      <c r="T140" s="64"/>
      <c r="U140" s="64"/>
      <c r="V140" s="72"/>
      <c r="W140" s="64"/>
      <c r="X140" s="64"/>
      <c r="Y140" s="64"/>
      <c r="Z140" s="64"/>
      <c r="AA140" s="64"/>
      <c r="AB140" s="64"/>
      <c r="AC140" s="64"/>
      <c r="AD140" s="64"/>
      <c r="AE140" s="64"/>
      <c r="AF140" s="64"/>
      <c r="AG140" s="64"/>
      <c r="AH140" s="64"/>
      <c r="AI140" s="64"/>
      <c r="AJ140" s="64"/>
      <c r="AK140" s="64"/>
      <c r="AL140" s="64"/>
      <c r="AM140" s="66"/>
    </row>
    <row r="141" spans="1:39" x14ac:dyDescent="0.2">
      <c r="A141" s="61"/>
      <c r="B141" s="62"/>
      <c r="C141" s="63"/>
      <c r="D141" s="64"/>
      <c r="E141" s="64"/>
      <c r="F141" s="64"/>
      <c r="G141" s="64"/>
      <c r="H141" s="64"/>
      <c r="I141" s="64"/>
      <c r="J141" s="64"/>
      <c r="K141" s="64"/>
      <c r="L141" s="64"/>
      <c r="M141" s="64"/>
      <c r="N141" s="64"/>
      <c r="O141" s="64"/>
      <c r="P141" s="64"/>
      <c r="Q141" s="64"/>
      <c r="R141" s="64"/>
      <c r="S141" s="64"/>
      <c r="T141" s="64"/>
      <c r="U141" s="64"/>
      <c r="V141" s="72"/>
      <c r="W141" s="64"/>
      <c r="X141" s="64"/>
      <c r="Y141" s="64"/>
      <c r="Z141" s="64"/>
      <c r="AA141" s="64"/>
      <c r="AB141" s="64"/>
      <c r="AC141" s="64"/>
      <c r="AD141" s="64"/>
      <c r="AE141" s="64"/>
      <c r="AF141" s="64"/>
      <c r="AG141" s="64"/>
      <c r="AH141" s="64"/>
      <c r="AI141" s="64"/>
      <c r="AJ141" s="64"/>
      <c r="AK141" s="64"/>
      <c r="AL141" s="64"/>
      <c r="AM141" s="66"/>
    </row>
    <row r="142" spans="1:39" x14ac:dyDescent="0.2">
      <c r="A142" s="61"/>
      <c r="B142" s="62"/>
      <c r="C142" s="63"/>
      <c r="D142" s="64"/>
      <c r="E142" s="64"/>
      <c r="F142" s="64"/>
      <c r="G142" s="64"/>
      <c r="H142" s="64"/>
      <c r="I142" s="64"/>
      <c r="J142" s="64"/>
      <c r="K142" s="64"/>
      <c r="L142" s="64"/>
      <c r="M142" s="64"/>
      <c r="N142" s="64"/>
      <c r="O142" s="64"/>
      <c r="P142" s="64"/>
      <c r="Q142" s="64"/>
      <c r="R142" s="64"/>
      <c r="S142" s="64"/>
      <c r="T142" s="64"/>
      <c r="U142" s="64"/>
      <c r="V142" s="72"/>
      <c r="W142" s="64"/>
      <c r="X142" s="64"/>
      <c r="Y142" s="64"/>
      <c r="Z142" s="64"/>
      <c r="AA142" s="64"/>
      <c r="AB142" s="64"/>
      <c r="AC142" s="64"/>
      <c r="AD142" s="64"/>
      <c r="AE142" s="64"/>
      <c r="AF142" s="64"/>
      <c r="AG142" s="64"/>
      <c r="AH142" s="64"/>
      <c r="AI142" s="64"/>
      <c r="AJ142" s="64"/>
      <c r="AK142" s="64"/>
      <c r="AL142" s="64"/>
      <c r="AM142" s="66"/>
    </row>
    <row r="143" spans="1:39" x14ac:dyDescent="0.2">
      <c r="A143" s="61"/>
      <c r="B143" s="62"/>
      <c r="C143" s="63"/>
      <c r="D143" s="64"/>
      <c r="E143" s="64"/>
      <c r="F143" s="64"/>
      <c r="G143" s="64"/>
      <c r="H143" s="64"/>
      <c r="I143" s="64"/>
      <c r="J143" s="64"/>
      <c r="K143" s="64"/>
      <c r="L143" s="64"/>
      <c r="M143" s="64"/>
      <c r="N143" s="64"/>
      <c r="O143" s="64"/>
      <c r="P143" s="64"/>
      <c r="Q143" s="64"/>
      <c r="R143" s="64"/>
      <c r="S143" s="64"/>
      <c r="T143" s="64"/>
      <c r="U143" s="64"/>
      <c r="V143" s="72"/>
      <c r="W143" s="64"/>
      <c r="X143" s="64"/>
      <c r="Y143" s="64"/>
      <c r="Z143" s="64"/>
      <c r="AA143" s="64"/>
      <c r="AB143" s="64"/>
      <c r="AC143" s="64"/>
      <c r="AD143" s="64"/>
      <c r="AE143" s="64"/>
      <c r="AF143" s="64"/>
      <c r="AG143" s="64"/>
      <c r="AH143" s="64"/>
      <c r="AI143" s="64"/>
      <c r="AJ143" s="64"/>
      <c r="AK143" s="64"/>
      <c r="AL143" s="64"/>
      <c r="AM143" s="66"/>
    </row>
    <row r="144" spans="1:39" x14ac:dyDescent="0.2">
      <c r="A144" s="61"/>
      <c r="B144" s="62"/>
      <c r="C144" s="63"/>
      <c r="D144" s="64"/>
      <c r="E144" s="64"/>
      <c r="F144" s="64"/>
      <c r="G144" s="64"/>
      <c r="H144" s="64"/>
      <c r="I144" s="64"/>
      <c r="J144" s="64"/>
      <c r="K144" s="64"/>
      <c r="L144" s="64"/>
      <c r="M144" s="64"/>
      <c r="N144" s="64"/>
      <c r="O144" s="64"/>
      <c r="P144" s="64"/>
      <c r="Q144" s="64"/>
      <c r="R144" s="64"/>
      <c r="S144" s="64"/>
      <c r="T144" s="64"/>
      <c r="U144" s="64"/>
      <c r="V144" s="72"/>
      <c r="W144" s="64"/>
      <c r="X144" s="64"/>
      <c r="Y144" s="64"/>
      <c r="Z144" s="64"/>
      <c r="AA144" s="64"/>
      <c r="AB144" s="64"/>
      <c r="AC144" s="64"/>
      <c r="AD144" s="64"/>
      <c r="AE144" s="64"/>
      <c r="AF144" s="64"/>
      <c r="AG144" s="64"/>
      <c r="AH144" s="64"/>
      <c r="AI144" s="64"/>
      <c r="AJ144" s="64"/>
      <c r="AK144" s="64"/>
      <c r="AL144" s="64"/>
      <c r="AM144" s="66"/>
    </row>
    <row r="145" spans="1:39" x14ac:dyDescent="0.2">
      <c r="A145" s="61"/>
      <c r="B145" s="62"/>
      <c r="C145" s="63"/>
      <c r="D145" s="64"/>
      <c r="E145" s="64"/>
      <c r="F145" s="64"/>
      <c r="G145" s="64"/>
      <c r="H145" s="64"/>
      <c r="I145" s="64"/>
      <c r="J145" s="64"/>
      <c r="K145" s="64"/>
      <c r="L145" s="64"/>
      <c r="M145" s="64"/>
      <c r="N145" s="64"/>
      <c r="O145" s="64"/>
      <c r="P145" s="64"/>
      <c r="Q145" s="64"/>
      <c r="R145" s="64"/>
      <c r="S145" s="64"/>
      <c r="T145" s="64"/>
      <c r="U145" s="64"/>
      <c r="V145" s="72"/>
      <c r="W145" s="64"/>
      <c r="X145" s="64"/>
      <c r="Y145" s="64"/>
      <c r="Z145" s="64"/>
      <c r="AA145" s="64"/>
      <c r="AB145" s="64"/>
      <c r="AC145" s="64"/>
      <c r="AD145" s="64"/>
      <c r="AE145" s="64"/>
      <c r="AF145" s="64"/>
      <c r="AG145" s="64"/>
      <c r="AH145" s="64"/>
      <c r="AI145" s="64"/>
      <c r="AJ145" s="64"/>
      <c r="AK145" s="64"/>
      <c r="AL145" s="64"/>
      <c r="AM145" s="66"/>
    </row>
    <row r="146" spans="1:39" x14ac:dyDescent="0.2">
      <c r="A146" s="61"/>
      <c r="B146" s="62"/>
      <c r="C146" s="63"/>
      <c r="D146" s="64"/>
      <c r="E146" s="64"/>
      <c r="F146" s="64"/>
      <c r="G146" s="64"/>
      <c r="H146" s="64"/>
      <c r="I146" s="64"/>
      <c r="J146" s="64"/>
      <c r="K146" s="64"/>
      <c r="L146" s="64"/>
      <c r="M146" s="64"/>
      <c r="N146" s="64"/>
      <c r="O146" s="64"/>
      <c r="P146" s="64"/>
      <c r="Q146" s="64"/>
      <c r="R146" s="64"/>
      <c r="S146" s="64"/>
      <c r="T146" s="64"/>
      <c r="U146" s="64"/>
      <c r="V146" s="72"/>
      <c r="W146" s="64"/>
      <c r="X146" s="64"/>
      <c r="Y146" s="64"/>
      <c r="Z146" s="64"/>
      <c r="AA146" s="64"/>
      <c r="AB146" s="64"/>
      <c r="AC146" s="64"/>
      <c r="AD146" s="64"/>
      <c r="AE146" s="64"/>
      <c r="AF146" s="64"/>
      <c r="AG146" s="64"/>
      <c r="AH146" s="64"/>
      <c r="AI146" s="64"/>
      <c r="AJ146" s="64"/>
      <c r="AK146" s="64"/>
      <c r="AL146" s="64"/>
      <c r="AM146" s="66"/>
    </row>
    <row r="147" spans="1:39" x14ac:dyDescent="0.2">
      <c r="A147" s="61"/>
      <c r="B147" s="62"/>
      <c r="C147" s="63"/>
      <c r="D147" s="64"/>
      <c r="E147" s="64"/>
      <c r="F147" s="64"/>
      <c r="G147" s="64"/>
      <c r="H147" s="64"/>
      <c r="I147" s="64"/>
      <c r="J147" s="64"/>
      <c r="K147" s="64"/>
      <c r="L147" s="64"/>
      <c r="M147" s="64"/>
      <c r="N147" s="64"/>
      <c r="O147" s="64"/>
      <c r="P147" s="64"/>
      <c r="Q147" s="64"/>
      <c r="R147" s="64"/>
      <c r="S147" s="64"/>
      <c r="T147" s="64"/>
      <c r="U147" s="64"/>
      <c r="V147" s="72"/>
      <c r="W147" s="64"/>
      <c r="X147" s="64"/>
      <c r="Y147" s="64"/>
      <c r="Z147" s="64"/>
      <c r="AA147" s="64"/>
      <c r="AB147" s="64"/>
      <c r="AC147" s="64"/>
      <c r="AD147" s="64"/>
      <c r="AE147" s="64"/>
      <c r="AF147" s="64"/>
      <c r="AG147" s="64"/>
      <c r="AH147" s="64"/>
      <c r="AI147" s="64"/>
      <c r="AJ147" s="64"/>
      <c r="AK147" s="64"/>
      <c r="AL147" s="64"/>
      <c r="AM147" s="66"/>
    </row>
    <row r="148" spans="1:39" x14ac:dyDescent="0.2">
      <c r="A148" s="61"/>
      <c r="B148" s="62"/>
      <c r="C148" s="63"/>
      <c r="D148" s="64"/>
      <c r="E148" s="64"/>
      <c r="F148" s="64"/>
      <c r="G148" s="64"/>
      <c r="H148" s="64"/>
      <c r="I148" s="64"/>
      <c r="J148" s="64"/>
      <c r="K148" s="64"/>
      <c r="L148" s="64"/>
      <c r="M148" s="64"/>
      <c r="N148" s="64"/>
      <c r="O148" s="64"/>
      <c r="P148" s="64"/>
      <c r="Q148" s="64"/>
      <c r="R148" s="64"/>
      <c r="S148" s="64"/>
      <c r="T148" s="64"/>
      <c r="U148" s="64"/>
      <c r="V148" s="72"/>
      <c r="W148" s="64"/>
      <c r="X148" s="64"/>
      <c r="Y148" s="64"/>
      <c r="Z148" s="64"/>
      <c r="AA148" s="64"/>
      <c r="AB148" s="64"/>
      <c r="AC148" s="64"/>
      <c r="AD148" s="64"/>
      <c r="AE148" s="64"/>
      <c r="AF148" s="64"/>
      <c r="AG148" s="64"/>
      <c r="AH148" s="64"/>
      <c r="AI148" s="64"/>
      <c r="AJ148" s="64"/>
      <c r="AK148" s="64"/>
      <c r="AL148" s="64"/>
      <c r="AM148" s="66"/>
    </row>
    <row r="149" spans="1:39" x14ac:dyDescent="0.2">
      <c r="A149" s="61"/>
      <c r="B149" s="62"/>
      <c r="C149" s="63"/>
      <c r="D149" s="64"/>
      <c r="E149" s="64"/>
      <c r="F149" s="64"/>
      <c r="G149" s="64"/>
      <c r="H149" s="64"/>
      <c r="I149" s="64"/>
      <c r="J149" s="64"/>
      <c r="K149" s="64"/>
      <c r="L149" s="64"/>
      <c r="M149" s="64"/>
      <c r="N149" s="64"/>
      <c r="O149" s="64"/>
      <c r="P149" s="64"/>
      <c r="Q149" s="64"/>
      <c r="R149" s="64"/>
      <c r="S149" s="64"/>
      <c r="T149" s="64"/>
      <c r="U149" s="64"/>
      <c r="V149" s="72"/>
      <c r="W149" s="64"/>
      <c r="X149" s="64"/>
      <c r="Y149" s="64"/>
      <c r="Z149" s="64"/>
      <c r="AA149" s="64"/>
      <c r="AB149" s="64"/>
      <c r="AC149" s="64"/>
      <c r="AD149" s="64"/>
      <c r="AE149" s="64"/>
      <c r="AF149" s="64"/>
      <c r="AG149" s="64"/>
      <c r="AH149" s="64"/>
      <c r="AI149" s="64"/>
      <c r="AJ149" s="64"/>
      <c r="AK149" s="64"/>
      <c r="AL149" s="64"/>
      <c r="AM149" s="66"/>
    </row>
    <row r="150" spans="1:39" x14ac:dyDescent="0.2">
      <c r="A150" s="61"/>
      <c r="B150" s="62"/>
      <c r="C150" s="63"/>
      <c r="D150" s="64"/>
      <c r="E150" s="64"/>
      <c r="F150" s="64"/>
      <c r="G150" s="64"/>
      <c r="H150" s="64"/>
      <c r="I150" s="64"/>
      <c r="J150" s="64"/>
      <c r="K150" s="64"/>
      <c r="L150" s="64"/>
      <c r="M150" s="64"/>
      <c r="N150" s="64"/>
      <c r="O150" s="64"/>
      <c r="P150" s="64"/>
      <c r="Q150" s="64"/>
      <c r="R150" s="64"/>
      <c r="S150" s="64"/>
      <c r="T150" s="64"/>
      <c r="U150" s="64"/>
      <c r="V150" s="72"/>
      <c r="W150" s="64"/>
      <c r="X150" s="64"/>
      <c r="Y150" s="64"/>
      <c r="Z150" s="64"/>
      <c r="AA150" s="64"/>
      <c r="AB150" s="64"/>
      <c r="AC150" s="64"/>
      <c r="AD150" s="64"/>
      <c r="AE150" s="64"/>
      <c r="AF150" s="64"/>
      <c r="AG150" s="64"/>
      <c r="AH150" s="64"/>
      <c r="AI150" s="64"/>
      <c r="AJ150" s="64"/>
      <c r="AK150" s="64"/>
      <c r="AL150" s="64"/>
      <c r="AM150" s="66"/>
    </row>
    <row r="151" spans="1:39" x14ac:dyDescent="0.2">
      <c r="A151" s="61"/>
      <c r="B151" s="62"/>
      <c r="C151" s="63"/>
      <c r="D151" s="64"/>
      <c r="E151" s="64"/>
      <c r="F151" s="64"/>
      <c r="G151" s="64"/>
      <c r="H151" s="64"/>
      <c r="I151" s="64"/>
      <c r="J151" s="64"/>
      <c r="K151" s="64"/>
      <c r="L151" s="64"/>
      <c r="M151" s="64"/>
      <c r="N151" s="64"/>
      <c r="O151" s="64"/>
      <c r="P151" s="64"/>
      <c r="Q151" s="64"/>
      <c r="R151" s="64"/>
      <c r="S151" s="64"/>
      <c r="T151" s="64"/>
      <c r="U151" s="64"/>
      <c r="V151" s="72"/>
      <c r="W151" s="64"/>
      <c r="X151" s="64"/>
      <c r="Y151" s="64"/>
      <c r="Z151" s="64"/>
      <c r="AA151" s="64"/>
      <c r="AB151" s="64"/>
      <c r="AC151" s="64"/>
      <c r="AD151" s="64"/>
      <c r="AE151" s="64"/>
      <c r="AF151" s="64"/>
      <c r="AG151" s="64"/>
      <c r="AH151" s="64"/>
      <c r="AI151" s="64"/>
      <c r="AJ151" s="64"/>
      <c r="AK151" s="64"/>
      <c r="AL151" s="64"/>
      <c r="AM151" s="66"/>
    </row>
    <row r="152" spans="1:39" x14ac:dyDescent="0.2">
      <c r="A152" s="61"/>
      <c r="B152" s="62"/>
      <c r="C152" s="63"/>
      <c r="D152" s="64"/>
      <c r="E152" s="64"/>
      <c r="F152" s="64"/>
      <c r="G152" s="64"/>
      <c r="H152" s="64"/>
      <c r="I152" s="64"/>
      <c r="J152" s="64"/>
      <c r="K152" s="64"/>
      <c r="L152" s="64"/>
      <c r="M152" s="64"/>
      <c r="N152" s="64"/>
      <c r="O152" s="64"/>
      <c r="P152" s="64"/>
      <c r="Q152" s="64"/>
      <c r="R152" s="64"/>
      <c r="S152" s="64"/>
      <c r="T152" s="64"/>
      <c r="U152" s="64"/>
      <c r="V152" s="72"/>
      <c r="W152" s="64"/>
      <c r="X152" s="64"/>
      <c r="Y152" s="64"/>
      <c r="Z152" s="64"/>
      <c r="AA152" s="64"/>
      <c r="AB152" s="64"/>
      <c r="AC152" s="64"/>
      <c r="AD152" s="64"/>
      <c r="AE152" s="64"/>
      <c r="AF152" s="64"/>
      <c r="AG152" s="64"/>
      <c r="AH152" s="64"/>
      <c r="AI152" s="64"/>
      <c r="AJ152" s="64"/>
      <c r="AK152" s="64"/>
      <c r="AL152" s="64"/>
      <c r="AM152" s="66"/>
    </row>
    <row r="153" spans="1:39" x14ac:dyDescent="0.2">
      <c r="A153" s="61"/>
      <c r="B153" s="62"/>
      <c r="C153" s="63"/>
      <c r="D153" s="64"/>
      <c r="E153" s="64"/>
      <c r="F153" s="64"/>
      <c r="G153" s="64"/>
      <c r="H153" s="64"/>
      <c r="I153" s="64"/>
      <c r="J153" s="64"/>
      <c r="K153" s="64"/>
      <c r="L153" s="64"/>
      <c r="M153" s="64"/>
      <c r="N153" s="64"/>
      <c r="O153" s="64"/>
      <c r="P153" s="64"/>
      <c r="Q153" s="64"/>
      <c r="R153" s="64"/>
      <c r="S153" s="64"/>
      <c r="T153" s="64"/>
      <c r="U153" s="64"/>
      <c r="V153" s="72"/>
      <c r="W153" s="64"/>
      <c r="X153" s="64"/>
      <c r="Y153" s="64"/>
      <c r="Z153" s="64"/>
      <c r="AA153" s="64"/>
      <c r="AB153" s="64"/>
      <c r="AC153" s="64"/>
      <c r="AD153" s="64"/>
      <c r="AE153" s="64"/>
      <c r="AF153" s="64"/>
      <c r="AG153" s="64"/>
      <c r="AH153" s="64"/>
      <c r="AI153" s="64"/>
      <c r="AJ153" s="64"/>
      <c r="AK153" s="64"/>
      <c r="AL153" s="64"/>
      <c r="AM153" s="66"/>
    </row>
    <row r="154" spans="1:39" x14ac:dyDescent="0.2">
      <c r="A154" s="61"/>
      <c r="B154" s="62"/>
      <c r="C154" s="63"/>
      <c r="D154" s="64"/>
      <c r="E154" s="64"/>
      <c r="F154" s="64"/>
      <c r="G154" s="64"/>
      <c r="H154" s="64"/>
      <c r="I154" s="64"/>
      <c r="J154" s="64"/>
      <c r="K154" s="64"/>
      <c r="L154" s="64"/>
      <c r="M154" s="64"/>
      <c r="N154" s="64"/>
      <c r="O154" s="64"/>
      <c r="P154" s="64"/>
      <c r="Q154" s="64"/>
      <c r="R154" s="64"/>
      <c r="S154" s="64"/>
      <c r="T154" s="64"/>
      <c r="U154" s="64"/>
      <c r="V154" s="72"/>
      <c r="W154" s="64"/>
      <c r="X154" s="64"/>
      <c r="Y154" s="64"/>
      <c r="Z154" s="64"/>
      <c r="AA154" s="64"/>
      <c r="AB154" s="64"/>
      <c r="AC154" s="64"/>
      <c r="AD154" s="64"/>
      <c r="AE154" s="64"/>
      <c r="AF154" s="64"/>
      <c r="AG154" s="64"/>
      <c r="AH154" s="64"/>
      <c r="AI154" s="64"/>
      <c r="AJ154" s="64"/>
      <c r="AK154" s="64"/>
      <c r="AL154" s="64"/>
      <c r="AM154" s="66"/>
    </row>
    <row r="155" spans="1:39" x14ac:dyDescent="0.2">
      <c r="A155" s="61"/>
      <c r="B155" s="62"/>
      <c r="C155" s="63"/>
      <c r="D155" s="64"/>
      <c r="E155" s="64"/>
      <c r="F155" s="64"/>
      <c r="G155" s="64"/>
      <c r="H155" s="64"/>
      <c r="I155" s="64"/>
      <c r="J155" s="64"/>
      <c r="K155" s="64"/>
      <c r="L155" s="64"/>
      <c r="M155" s="64"/>
      <c r="N155" s="64"/>
      <c r="O155" s="64"/>
      <c r="P155" s="64"/>
      <c r="Q155" s="64"/>
      <c r="R155" s="64"/>
      <c r="S155" s="64"/>
      <c r="T155" s="64"/>
      <c r="U155" s="64"/>
      <c r="V155" s="72"/>
      <c r="W155" s="64"/>
      <c r="X155" s="64"/>
      <c r="Y155" s="64"/>
      <c r="Z155" s="64"/>
      <c r="AA155" s="64"/>
      <c r="AB155" s="64"/>
      <c r="AC155" s="64"/>
      <c r="AD155" s="64"/>
      <c r="AE155" s="64"/>
      <c r="AF155" s="64"/>
      <c r="AG155" s="64"/>
      <c r="AH155" s="64"/>
      <c r="AI155" s="64"/>
      <c r="AJ155" s="64"/>
      <c r="AK155" s="64"/>
      <c r="AL155" s="64"/>
      <c r="AM155" s="66"/>
    </row>
    <row r="156" spans="1:39" x14ac:dyDescent="0.2">
      <c r="A156" s="61"/>
      <c r="B156" s="62"/>
      <c r="C156" s="63"/>
      <c r="D156" s="64"/>
      <c r="E156" s="64"/>
      <c r="F156" s="64"/>
      <c r="G156" s="64"/>
      <c r="H156" s="64"/>
      <c r="I156" s="64"/>
      <c r="J156" s="64"/>
      <c r="K156" s="64"/>
      <c r="L156" s="64"/>
      <c r="M156" s="64"/>
      <c r="N156" s="64"/>
      <c r="O156" s="64"/>
      <c r="P156" s="64"/>
      <c r="Q156" s="64"/>
      <c r="R156" s="64"/>
      <c r="S156" s="64"/>
      <c r="T156" s="64"/>
      <c r="U156" s="64"/>
      <c r="V156" s="72"/>
      <c r="W156" s="64"/>
      <c r="X156" s="64"/>
      <c r="Y156" s="64"/>
      <c r="Z156" s="64"/>
      <c r="AA156" s="64"/>
      <c r="AB156" s="64"/>
      <c r="AC156" s="64"/>
      <c r="AD156" s="64"/>
      <c r="AE156" s="64"/>
      <c r="AF156" s="64"/>
      <c r="AG156" s="64"/>
      <c r="AH156" s="64"/>
      <c r="AI156" s="64"/>
      <c r="AJ156" s="64"/>
      <c r="AK156" s="64"/>
      <c r="AL156" s="64"/>
      <c r="AM156" s="66"/>
    </row>
    <row r="157" spans="1:39" x14ac:dyDescent="0.2">
      <c r="A157" s="61"/>
      <c r="B157" s="62"/>
      <c r="C157" s="63"/>
      <c r="D157" s="64"/>
      <c r="E157" s="64"/>
      <c r="F157" s="64"/>
      <c r="G157" s="64"/>
      <c r="H157" s="64"/>
      <c r="I157" s="64"/>
      <c r="J157" s="64"/>
      <c r="K157" s="64"/>
      <c r="L157" s="64"/>
      <c r="M157" s="64"/>
      <c r="N157" s="64"/>
      <c r="O157" s="64"/>
      <c r="P157" s="64"/>
      <c r="Q157" s="64"/>
      <c r="R157" s="64"/>
      <c r="S157" s="64"/>
      <c r="T157" s="64"/>
      <c r="U157" s="64"/>
      <c r="V157" s="72"/>
      <c r="W157" s="64"/>
      <c r="X157" s="64"/>
      <c r="Y157" s="64"/>
      <c r="Z157" s="64"/>
      <c r="AA157" s="64"/>
      <c r="AB157" s="64"/>
      <c r="AC157" s="64"/>
      <c r="AD157" s="64"/>
      <c r="AE157" s="64"/>
      <c r="AF157" s="64"/>
      <c r="AG157" s="64"/>
      <c r="AH157" s="64"/>
      <c r="AI157" s="64"/>
      <c r="AJ157" s="64"/>
      <c r="AK157" s="64"/>
      <c r="AL157" s="64"/>
      <c r="AM157" s="66"/>
    </row>
    <row r="158" spans="1:39" x14ac:dyDescent="0.2">
      <c r="A158" s="61"/>
      <c r="B158" s="62"/>
      <c r="C158" s="63"/>
      <c r="D158" s="64"/>
      <c r="E158" s="64"/>
      <c r="F158" s="64"/>
      <c r="G158" s="64"/>
      <c r="H158" s="64"/>
      <c r="I158" s="64"/>
      <c r="J158" s="64"/>
      <c r="K158" s="64"/>
      <c r="L158" s="64"/>
      <c r="M158" s="64"/>
      <c r="N158" s="64"/>
      <c r="O158" s="64"/>
      <c r="P158" s="64"/>
      <c r="Q158" s="64"/>
      <c r="R158" s="64"/>
      <c r="S158" s="64"/>
      <c r="T158" s="64"/>
      <c r="U158" s="64"/>
      <c r="V158" s="72"/>
      <c r="W158" s="64"/>
      <c r="X158" s="64"/>
      <c r="Y158" s="64"/>
      <c r="Z158" s="64"/>
      <c r="AA158" s="64"/>
      <c r="AB158" s="64"/>
      <c r="AC158" s="64"/>
      <c r="AD158" s="64"/>
      <c r="AE158" s="64"/>
      <c r="AF158" s="64"/>
      <c r="AG158" s="64"/>
      <c r="AH158" s="64"/>
      <c r="AI158" s="64"/>
      <c r="AJ158" s="64"/>
      <c r="AK158" s="64"/>
      <c r="AL158" s="64"/>
      <c r="AM158" s="66"/>
    </row>
    <row r="159" spans="1:39" x14ac:dyDescent="0.2">
      <c r="A159" s="61"/>
      <c r="B159" s="62"/>
      <c r="C159" s="63"/>
      <c r="D159" s="64"/>
      <c r="E159" s="64"/>
      <c r="F159" s="64"/>
      <c r="G159" s="64"/>
      <c r="H159" s="64"/>
      <c r="I159" s="64"/>
      <c r="J159" s="64"/>
      <c r="K159" s="64"/>
      <c r="L159" s="64"/>
      <c r="M159" s="64"/>
      <c r="N159" s="64"/>
      <c r="O159" s="64"/>
      <c r="P159" s="64"/>
      <c r="Q159" s="64"/>
      <c r="R159" s="64"/>
      <c r="S159" s="64"/>
      <c r="T159" s="64"/>
      <c r="U159" s="64"/>
      <c r="V159" s="72"/>
      <c r="W159" s="64"/>
      <c r="X159" s="64"/>
      <c r="Y159" s="64"/>
      <c r="Z159" s="64"/>
      <c r="AA159" s="64"/>
      <c r="AB159" s="64"/>
      <c r="AC159" s="64"/>
      <c r="AD159" s="64"/>
      <c r="AE159" s="64"/>
      <c r="AF159" s="64"/>
      <c r="AG159" s="64"/>
      <c r="AH159" s="64"/>
      <c r="AI159" s="64"/>
      <c r="AJ159" s="64"/>
      <c r="AK159" s="64"/>
      <c r="AL159" s="64"/>
      <c r="AM159" s="66"/>
    </row>
    <row r="160" spans="1:39" x14ac:dyDescent="0.2">
      <c r="A160" s="61"/>
      <c r="B160" s="62"/>
      <c r="C160" s="63"/>
      <c r="D160" s="64"/>
      <c r="E160" s="64"/>
      <c r="F160" s="64"/>
      <c r="G160" s="64"/>
      <c r="H160" s="64"/>
      <c r="I160" s="64"/>
      <c r="J160" s="64"/>
      <c r="K160" s="64"/>
      <c r="L160" s="64"/>
      <c r="M160" s="64"/>
      <c r="N160" s="64"/>
      <c r="O160" s="64"/>
      <c r="P160" s="64"/>
      <c r="Q160" s="64"/>
      <c r="R160" s="64"/>
      <c r="S160" s="64"/>
      <c r="T160" s="64"/>
      <c r="U160" s="64"/>
      <c r="V160" s="72"/>
      <c r="W160" s="64"/>
      <c r="X160" s="64"/>
      <c r="Y160" s="64"/>
      <c r="Z160" s="64"/>
      <c r="AA160" s="64"/>
      <c r="AB160" s="64"/>
      <c r="AC160" s="64"/>
      <c r="AD160" s="64"/>
      <c r="AE160" s="64"/>
      <c r="AF160" s="64"/>
      <c r="AG160" s="64"/>
      <c r="AH160" s="64"/>
      <c r="AI160" s="64"/>
      <c r="AJ160" s="64"/>
      <c r="AK160" s="64"/>
      <c r="AL160" s="64"/>
      <c r="AM160" s="66"/>
    </row>
    <row r="161" spans="1:39" x14ac:dyDescent="0.2">
      <c r="A161" s="61"/>
      <c r="B161" s="62"/>
      <c r="C161" s="63"/>
      <c r="D161" s="64"/>
      <c r="E161" s="64"/>
      <c r="F161" s="64"/>
      <c r="G161" s="64"/>
      <c r="H161" s="64"/>
      <c r="I161" s="64"/>
      <c r="J161" s="64"/>
      <c r="K161" s="64"/>
      <c r="L161" s="64"/>
      <c r="M161" s="64"/>
      <c r="N161" s="64"/>
      <c r="O161" s="64"/>
      <c r="P161" s="64"/>
      <c r="Q161" s="64"/>
      <c r="R161" s="64"/>
      <c r="S161" s="64"/>
      <c r="T161" s="64"/>
      <c r="U161" s="64"/>
      <c r="V161" s="72"/>
      <c r="W161" s="64"/>
      <c r="X161" s="64"/>
      <c r="Y161" s="64"/>
      <c r="Z161" s="64"/>
      <c r="AA161" s="64"/>
      <c r="AB161" s="64"/>
      <c r="AC161" s="64"/>
      <c r="AD161" s="64"/>
      <c r="AE161" s="64"/>
      <c r="AF161" s="64"/>
      <c r="AG161" s="64"/>
      <c r="AH161" s="64"/>
      <c r="AI161" s="64"/>
      <c r="AJ161" s="64"/>
      <c r="AK161" s="64"/>
      <c r="AL161" s="64"/>
      <c r="AM161" s="66"/>
    </row>
    <row r="162" spans="1:39" x14ac:dyDescent="0.2">
      <c r="A162" s="61"/>
      <c r="B162" s="62"/>
      <c r="C162" s="63"/>
      <c r="D162" s="64"/>
      <c r="E162" s="64"/>
      <c r="F162" s="64"/>
      <c r="G162" s="64"/>
      <c r="H162" s="64"/>
      <c r="I162" s="64"/>
      <c r="J162" s="64"/>
      <c r="K162" s="64"/>
      <c r="L162" s="64"/>
      <c r="M162" s="64"/>
      <c r="N162" s="64"/>
      <c r="O162" s="64"/>
      <c r="P162" s="64"/>
      <c r="Q162" s="64"/>
      <c r="R162" s="64"/>
      <c r="S162" s="64"/>
      <c r="T162" s="64"/>
      <c r="U162" s="64"/>
      <c r="V162" s="72"/>
      <c r="W162" s="64"/>
      <c r="X162" s="64"/>
      <c r="Y162" s="64"/>
      <c r="Z162" s="64"/>
      <c r="AA162" s="64"/>
      <c r="AB162" s="64"/>
      <c r="AC162" s="64"/>
      <c r="AD162" s="64"/>
      <c r="AE162" s="64"/>
      <c r="AF162" s="64"/>
      <c r="AG162" s="64"/>
      <c r="AH162" s="64"/>
      <c r="AI162" s="64"/>
      <c r="AJ162" s="64"/>
      <c r="AK162" s="64"/>
      <c r="AL162" s="64"/>
      <c r="AM162" s="66"/>
    </row>
    <row r="163" spans="1:39" x14ac:dyDescent="0.2">
      <c r="A163" s="61"/>
      <c r="B163" s="62"/>
      <c r="C163" s="63"/>
      <c r="D163" s="64"/>
      <c r="E163" s="64"/>
      <c r="F163" s="64"/>
      <c r="G163" s="64"/>
      <c r="H163" s="64"/>
      <c r="I163" s="64"/>
      <c r="J163" s="64"/>
      <c r="K163" s="64"/>
      <c r="L163" s="64"/>
      <c r="M163" s="64"/>
      <c r="N163" s="64"/>
      <c r="O163" s="64"/>
      <c r="P163" s="64"/>
      <c r="Q163" s="64"/>
      <c r="R163" s="64"/>
      <c r="S163" s="64"/>
      <c r="T163" s="64"/>
      <c r="U163" s="64"/>
      <c r="V163" s="72"/>
      <c r="W163" s="64"/>
      <c r="X163" s="64"/>
      <c r="Y163" s="64"/>
      <c r="Z163" s="64"/>
      <c r="AA163" s="64"/>
      <c r="AB163" s="64"/>
      <c r="AC163" s="64"/>
      <c r="AD163" s="64"/>
      <c r="AE163" s="64"/>
      <c r="AF163" s="64"/>
      <c r="AG163" s="64"/>
      <c r="AH163" s="64"/>
      <c r="AI163" s="64"/>
      <c r="AJ163" s="64"/>
      <c r="AK163" s="64"/>
      <c r="AL163" s="64"/>
      <c r="AM163" s="66"/>
    </row>
    <row r="164" spans="1:39" x14ac:dyDescent="0.2">
      <c r="A164" s="61"/>
      <c r="B164" s="62"/>
      <c r="C164" s="63"/>
      <c r="D164" s="64"/>
      <c r="E164" s="64"/>
      <c r="F164" s="64"/>
      <c r="G164" s="64"/>
      <c r="H164" s="64"/>
      <c r="I164" s="64"/>
      <c r="J164" s="64"/>
      <c r="K164" s="64"/>
      <c r="L164" s="64"/>
      <c r="M164" s="64"/>
      <c r="N164" s="64"/>
      <c r="O164" s="64"/>
      <c r="P164" s="64"/>
      <c r="Q164" s="64"/>
      <c r="R164" s="64"/>
      <c r="S164" s="64"/>
      <c r="T164" s="64"/>
      <c r="U164" s="64"/>
      <c r="V164" s="72"/>
      <c r="W164" s="64"/>
      <c r="X164" s="64"/>
      <c r="Y164" s="64"/>
      <c r="Z164" s="64"/>
      <c r="AA164" s="64"/>
      <c r="AB164" s="64"/>
      <c r="AC164" s="64"/>
      <c r="AD164" s="64"/>
      <c r="AE164" s="64"/>
      <c r="AF164" s="64"/>
      <c r="AG164" s="64"/>
      <c r="AH164" s="64"/>
      <c r="AI164" s="64"/>
      <c r="AJ164" s="64"/>
      <c r="AK164" s="64"/>
      <c r="AL164" s="64"/>
      <c r="AM164" s="66"/>
    </row>
    <row r="165" spans="1:39" x14ac:dyDescent="0.2">
      <c r="A165" s="61"/>
      <c r="B165" s="62"/>
      <c r="C165" s="63"/>
      <c r="D165" s="64"/>
      <c r="E165" s="64"/>
      <c r="F165" s="64"/>
      <c r="G165" s="64"/>
      <c r="H165" s="64"/>
      <c r="I165" s="64"/>
      <c r="J165" s="64"/>
      <c r="K165" s="64"/>
      <c r="L165" s="64"/>
      <c r="M165" s="64"/>
      <c r="N165" s="64"/>
      <c r="O165" s="64"/>
      <c r="P165" s="64"/>
      <c r="Q165" s="64"/>
      <c r="R165" s="64"/>
      <c r="S165" s="64"/>
      <c r="T165" s="64"/>
      <c r="U165" s="64"/>
      <c r="V165" s="72"/>
      <c r="W165" s="64"/>
      <c r="X165" s="64"/>
      <c r="Y165" s="64"/>
      <c r="Z165" s="64"/>
      <c r="AA165" s="64"/>
      <c r="AB165" s="64"/>
      <c r="AC165" s="64"/>
      <c r="AD165" s="64"/>
      <c r="AE165" s="64"/>
      <c r="AF165" s="64"/>
      <c r="AG165" s="64"/>
      <c r="AH165" s="64"/>
      <c r="AI165" s="64"/>
      <c r="AJ165" s="64"/>
      <c r="AK165" s="64"/>
      <c r="AL165" s="64"/>
      <c r="AM165" s="66"/>
    </row>
    <row r="166" spans="1:39" x14ac:dyDescent="0.2">
      <c r="A166" s="61"/>
      <c r="B166" s="62"/>
      <c r="C166" s="63"/>
      <c r="D166" s="64"/>
      <c r="E166" s="64"/>
      <c r="F166" s="64"/>
      <c r="G166" s="64"/>
      <c r="H166" s="64"/>
      <c r="I166" s="64"/>
      <c r="J166" s="64"/>
      <c r="K166" s="64"/>
      <c r="L166" s="64"/>
      <c r="M166" s="64"/>
      <c r="N166" s="64"/>
      <c r="O166" s="64"/>
      <c r="P166" s="64"/>
      <c r="Q166" s="64"/>
      <c r="R166" s="64"/>
      <c r="S166" s="64"/>
      <c r="T166" s="64"/>
      <c r="U166" s="64"/>
      <c r="V166" s="72"/>
      <c r="W166" s="64"/>
      <c r="X166" s="64"/>
      <c r="Y166" s="64"/>
      <c r="Z166" s="64"/>
      <c r="AA166" s="64"/>
      <c r="AB166" s="64"/>
      <c r="AC166" s="64"/>
      <c r="AD166" s="64"/>
      <c r="AE166" s="64"/>
      <c r="AF166" s="64"/>
      <c r="AG166" s="64"/>
      <c r="AH166" s="64"/>
      <c r="AI166" s="64"/>
      <c r="AJ166" s="64"/>
      <c r="AK166" s="64"/>
      <c r="AL166" s="64"/>
      <c r="AM166" s="66"/>
    </row>
    <row r="167" spans="1:39" x14ac:dyDescent="0.2">
      <c r="A167" s="61"/>
      <c r="B167" s="62"/>
      <c r="C167" s="63"/>
      <c r="D167" s="64"/>
      <c r="E167" s="64"/>
      <c r="F167" s="64"/>
      <c r="G167" s="64"/>
      <c r="H167" s="64"/>
      <c r="I167" s="64"/>
      <c r="J167" s="64"/>
      <c r="K167" s="64"/>
      <c r="L167" s="64"/>
      <c r="M167" s="64"/>
      <c r="N167" s="64"/>
      <c r="O167" s="64"/>
      <c r="P167" s="64"/>
      <c r="Q167" s="64"/>
      <c r="R167" s="64"/>
      <c r="S167" s="64"/>
      <c r="T167" s="64"/>
      <c r="U167" s="64"/>
      <c r="V167" s="72"/>
      <c r="W167" s="64"/>
      <c r="X167" s="64"/>
      <c r="Y167" s="64"/>
      <c r="Z167" s="64"/>
      <c r="AA167" s="64"/>
      <c r="AB167" s="64"/>
      <c r="AC167" s="64"/>
      <c r="AD167" s="64"/>
      <c r="AE167" s="64"/>
      <c r="AF167" s="64"/>
      <c r="AG167" s="64"/>
      <c r="AH167" s="64"/>
      <c r="AI167" s="64"/>
      <c r="AJ167" s="64"/>
      <c r="AK167" s="64"/>
      <c r="AL167" s="64"/>
      <c r="AM167" s="66"/>
    </row>
    <row r="168" spans="1:39" x14ac:dyDescent="0.2">
      <c r="A168" s="61"/>
      <c r="B168" s="62"/>
      <c r="C168" s="63"/>
      <c r="D168" s="64"/>
      <c r="E168" s="64"/>
      <c r="F168" s="64"/>
      <c r="G168" s="64"/>
      <c r="H168" s="64"/>
      <c r="I168" s="64"/>
      <c r="J168" s="64"/>
      <c r="K168" s="64"/>
      <c r="L168" s="64"/>
      <c r="M168" s="64"/>
      <c r="N168" s="64"/>
      <c r="O168" s="64"/>
      <c r="P168" s="64"/>
      <c r="Q168" s="64"/>
      <c r="R168" s="64"/>
      <c r="S168" s="64"/>
      <c r="T168" s="64"/>
      <c r="U168" s="64"/>
      <c r="V168" s="72"/>
      <c r="W168" s="64"/>
      <c r="X168" s="64"/>
      <c r="Y168" s="64"/>
      <c r="Z168" s="64"/>
      <c r="AA168" s="64"/>
      <c r="AB168" s="64"/>
      <c r="AC168" s="64"/>
      <c r="AD168" s="64"/>
      <c r="AE168" s="64"/>
      <c r="AF168" s="64"/>
      <c r="AG168" s="64"/>
      <c r="AH168" s="64"/>
      <c r="AI168" s="64"/>
      <c r="AJ168" s="64"/>
      <c r="AK168" s="64"/>
      <c r="AL168" s="64"/>
      <c r="AM168" s="66"/>
    </row>
    <row r="169" spans="1:39" x14ac:dyDescent="0.2">
      <c r="A169" s="61"/>
      <c r="B169" s="62"/>
      <c r="C169" s="63"/>
      <c r="D169" s="64"/>
      <c r="E169" s="64"/>
      <c r="F169" s="64"/>
      <c r="G169" s="64"/>
      <c r="H169" s="64"/>
      <c r="I169" s="64"/>
      <c r="J169" s="64"/>
      <c r="K169" s="64"/>
      <c r="L169" s="64"/>
      <c r="M169" s="64"/>
      <c r="N169" s="64"/>
      <c r="O169" s="64"/>
      <c r="P169" s="64"/>
      <c r="Q169" s="64"/>
      <c r="R169" s="64"/>
      <c r="S169" s="64"/>
      <c r="T169" s="64"/>
      <c r="U169" s="64"/>
      <c r="V169" s="72"/>
      <c r="W169" s="64"/>
      <c r="X169" s="64"/>
      <c r="Y169" s="64"/>
      <c r="Z169" s="64"/>
      <c r="AA169" s="64"/>
      <c r="AB169" s="64"/>
      <c r="AC169" s="64"/>
      <c r="AD169" s="64"/>
      <c r="AE169" s="64"/>
      <c r="AF169" s="64"/>
      <c r="AG169" s="64"/>
      <c r="AH169" s="64"/>
      <c r="AI169" s="64"/>
      <c r="AJ169" s="64"/>
      <c r="AK169" s="64"/>
      <c r="AL169" s="64"/>
      <c r="AM169" s="66"/>
    </row>
    <row r="170" spans="1:39" x14ac:dyDescent="0.2">
      <c r="A170" s="61"/>
      <c r="B170" s="62"/>
      <c r="C170" s="63"/>
      <c r="D170" s="64"/>
      <c r="E170" s="64"/>
      <c r="F170" s="64"/>
      <c r="G170" s="64"/>
      <c r="H170" s="64"/>
      <c r="I170" s="64"/>
      <c r="J170" s="64"/>
      <c r="K170" s="64"/>
      <c r="L170" s="64"/>
      <c r="M170" s="64"/>
      <c r="N170" s="64"/>
      <c r="O170" s="64"/>
      <c r="P170" s="64"/>
      <c r="Q170" s="64"/>
      <c r="R170" s="64"/>
      <c r="S170" s="64"/>
      <c r="T170" s="64"/>
      <c r="U170" s="64"/>
      <c r="V170" s="72"/>
      <c r="W170" s="64"/>
      <c r="X170" s="64"/>
      <c r="Y170" s="64"/>
      <c r="Z170" s="64"/>
      <c r="AA170" s="64"/>
      <c r="AB170" s="64"/>
      <c r="AC170" s="64"/>
      <c r="AD170" s="64"/>
      <c r="AE170" s="64"/>
      <c r="AF170" s="64"/>
      <c r="AG170" s="64"/>
      <c r="AH170" s="64"/>
      <c r="AI170" s="64"/>
      <c r="AJ170" s="64"/>
      <c r="AK170" s="64"/>
      <c r="AL170" s="64"/>
      <c r="AM170" s="66"/>
    </row>
    <row r="171" spans="1:39" x14ac:dyDescent="0.2">
      <c r="A171" s="61"/>
      <c r="B171" s="62"/>
      <c r="C171" s="63"/>
      <c r="D171" s="64"/>
      <c r="E171" s="64"/>
      <c r="F171" s="64"/>
      <c r="G171" s="64"/>
      <c r="H171" s="64"/>
      <c r="I171" s="64"/>
      <c r="J171" s="64"/>
      <c r="K171" s="64"/>
      <c r="L171" s="64"/>
      <c r="M171" s="64"/>
      <c r="N171" s="64"/>
      <c r="O171" s="64"/>
      <c r="P171" s="64"/>
      <c r="Q171" s="64"/>
      <c r="R171" s="64"/>
      <c r="S171" s="64"/>
      <c r="T171" s="64"/>
      <c r="U171" s="64"/>
      <c r="V171" s="72"/>
      <c r="W171" s="64"/>
      <c r="X171" s="64"/>
      <c r="Y171" s="64"/>
      <c r="Z171" s="64"/>
      <c r="AA171" s="64"/>
      <c r="AB171" s="64"/>
      <c r="AC171" s="64"/>
      <c r="AD171" s="64"/>
      <c r="AE171" s="64"/>
      <c r="AF171" s="64"/>
      <c r="AG171" s="64"/>
      <c r="AH171" s="64"/>
      <c r="AI171" s="64"/>
      <c r="AJ171" s="64"/>
      <c r="AK171" s="64"/>
      <c r="AL171" s="64"/>
      <c r="AM171" s="66"/>
    </row>
    <row r="172" spans="1:39" x14ac:dyDescent="0.2">
      <c r="A172" s="61"/>
      <c r="B172" s="62"/>
      <c r="C172" s="63"/>
      <c r="D172" s="64"/>
      <c r="E172" s="64"/>
      <c r="F172" s="64"/>
      <c r="G172" s="64"/>
      <c r="H172" s="64"/>
      <c r="I172" s="64"/>
      <c r="J172" s="64"/>
      <c r="K172" s="64"/>
      <c r="L172" s="64"/>
      <c r="M172" s="64"/>
      <c r="N172" s="64"/>
      <c r="O172" s="64"/>
      <c r="P172" s="64"/>
      <c r="Q172" s="64"/>
      <c r="R172" s="64"/>
      <c r="S172" s="64"/>
      <c r="T172" s="64"/>
      <c r="U172" s="64"/>
      <c r="V172" s="72"/>
      <c r="W172" s="64"/>
      <c r="X172" s="64"/>
      <c r="Y172" s="64"/>
      <c r="Z172" s="64"/>
      <c r="AA172" s="64"/>
      <c r="AB172" s="64"/>
      <c r="AC172" s="64"/>
      <c r="AD172" s="64"/>
      <c r="AE172" s="64"/>
      <c r="AF172" s="64"/>
      <c r="AG172" s="64"/>
      <c r="AH172" s="64"/>
      <c r="AI172" s="64"/>
      <c r="AJ172" s="64"/>
      <c r="AK172" s="64"/>
      <c r="AL172" s="64"/>
      <c r="AM172" s="66"/>
    </row>
    <row r="173" spans="1:39" x14ac:dyDescent="0.2">
      <c r="A173" s="61"/>
      <c r="B173" s="62"/>
      <c r="C173" s="63"/>
      <c r="D173" s="64"/>
      <c r="E173" s="64"/>
      <c r="F173" s="64"/>
      <c r="G173" s="64"/>
      <c r="H173" s="64"/>
      <c r="I173" s="64"/>
      <c r="J173" s="64"/>
      <c r="K173" s="64"/>
      <c r="L173" s="64"/>
      <c r="M173" s="64"/>
      <c r="N173" s="64"/>
      <c r="O173" s="64"/>
      <c r="P173" s="64"/>
      <c r="Q173" s="64"/>
      <c r="R173" s="64"/>
      <c r="S173" s="64"/>
      <c r="T173" s="64"/>
      <c r="U173" s="64"/>
      <c r="V173" s="72"/>
      <c r="W173" s="64"/>
      <c r="X173" s="64"/>
      <c r="Y173" s="64"/>
      <c r="Z173" s="64"/>
      <c r="AA173" s="64"/>
      <c r="AB173" s="64"/>
      <c r="AC173" s="64"/>
      <c r="AD173" s="64"/>
      <c r="AE173" s="64"/>
      <c r="AF173" s="64"/>
      <c r="AG173" s="64"/>
      <c r="AH173" s="64"/>
      <c r="AI173" s="64"/>
      <c r="AJ173" s="64"/>
      <c r="AK173" s="64"/>
      <c r="AL173" s="64"/>
      <c r="AM173" s="66"/>
    </row>
    <row r="174" spans="1:39" x14ac:dyDescent="0.2">
      <c r="A174" s="61"/>
      <c r="B174" s="62"/>
      <c r="C174" s="63"/>
      <c r="D174" s="64"/>
      <c r="E174" s="64"/>
      <c r="F174" s="64"/>
      <c r="G174" s="64"/>
      <c r="H174" s="64"/>
      <c r="I174" s="64"/>
      <c r="J174" s="64"/>
      <c r="K174" s="64"/>
      <c r="L174" s="64"/>
      <c r="M174" s="64"/>
      <c r="N174" s="64"/>
      <c r="O174" s="64"/>
      <c r="P174" s="64"/>
      <c r="Q174" s="64"/>
      <c r="R174" s="64"/>
      <c r="S174" s="64"/>
      <c r="T174" s="64"/>
      <c r="U174" s="64"/>
      <c r="V174" s="72"/>
      <c r="W174" s="64"/>
      <c r="X174" s="64"/>
      <c r="Y174" s="64"/>
      <c r="Z174" s="64"/>
      <c r="AA174" s="64"/>
      <c r="AB174" s="64"/>
      <c r="AC174" s="64"/>
      <c r="AD174" s="64"/>
      <c r="AE174" s="64"/>
      <c r="AF174" s="64"/>
      <c r="AG174" s="64"/>
      <c r="AH174" s="64"/>
      <c r="AI174" s="64"/>
      <c r="AJ174" s="64"/>
      <c r="AK174" s="64"/>
      <c r="AL174" s="64"/>
      <c r="AM174" s="66"/>
    </row>
    <row r="175" spans="1:39" x14ac:dyDescent="0.2">
      <c r="A175" s="61"/>
      <c r="B175" s="62"/>
      <c r="C175" s="63"/>
      <c r="D175" s="64"/>
      <c r="E175" s="64"/>
      <c r="F175" s="64"/>
      <c r="G175" s="64"/>
      <c r="H175" s="64"/>
      <c r="I175" s="64"/>
      <c r="J175" s="64"/>
      <c r="K175" s="64"/>
      <c r="L175" s="64"/>
      <c r="M175" s="64"/>
      <c r="N175" s="64"/>
      <c r="O175" s="64"/>
      <c r="P175" s="64"/>
      <c r="Q175" s="64"/>
      <c r="R175" s="64"/>
      <c r="S175" s="64"/>
      <c r="T175" s="64"/>
      <c r="U175" s="64"/>
      <c r="V175" s="72"/>
      <c r="W175" s="64"/>
      <c r="X175" s="64"/>
      <c r="Y175" s="64"/>
      <c r="Z175" s="64"/>
      <c r="AA175" s="64"/>
      <c r="AB175" s="64"/>
      <c r="AC175" s="64"/>
      <c r="AD175" s="64"/>
      <c r="AE175" s="64"/>
      <c r="AF175" s="64"/>
      <c r="AG175" s="64"/>
      <c r="AH175" s="64"/>
      <c r="AI175" s="64"/>
      <c r="AJ175" s="64"/>
      <c r="AK175" s="64"/>
      <c r="AL175" s="64"/>
      <c r="AM175" s="66"/>
    </row>
    <row r="176" spans="1:39" x14ac:dyDescent="0.2">
      <c r="A176" s="61"/>
      <c r="B176" s="62"/>
      <c r="C176" s="63"/>
      <c r="D176" s="64"/>
      <c r="E176" s="64"/>
      <c r="F176" s="64"/>
      <c r="G176" s="64"/>
      <c r="H176" s="64"/>
      <c r="I176" s="64"/>
      <c r="J176" s="64"/>
      <c r="K176" s="64"/>
      <c r="L176" s="64"/>
      <c r="M176" s="64"/>
      <c r="N176" s="64"/>
      <c r="O176" s="64"/>
      <c r="P176" s="64"/>
      <c r="Q176" s="64"/>
      <c r="R176" s="64"/>
      <c r="S176" s="64"/>
      <c r="T176" s="64"/>
      <c r="U176" s="64"/>
      <c r="V176" s="72"/>
      <c r="W176" s="64"/>
      <c r="X176" s="64"/>
      <c r="Y176" s="64"/>
      <c r="Z176" s="64"/>
      <c r="AA176" s="64"/>
      <c r="AB176" s="64"/>
      <c r="AC176" s="64"/>
      <c r="AD176" s="64"/>
      <c r="AE176" s="64"/>
      <c r="AF176" s="64"/>
      <c r="AG176" s="64"/>
      <c r="AH176" s="64"/>
      <c r="AI176" s="64"/>
      <c r="AJ176" s="64"/>
      <c r="AK176" s="64"/>
      <c r="AL176" s="64"/>
      <c r="AM176" s="66"/>
    </row>
    <row r="177" spans="1:39" x14ac:dyDescent="0.2">
      <c r="A177" s="61"/>
      <c r="B177" s="62"/>
      <c r="C177" s="63"/>
      <c r="D177" s="64"/>
      <c r="E177" s="64"/>
      <c r="F177" s="64"/>
      <c r="G177" s="64"/>
      <c r="H177" s="64"/>
      <c r="I177" s="64"/>
      <c r="J177" s="64"/>
      <c r="K177" s="64"/>
      <c r="L177" s="64"/>
      <c r="M177" s="64"/>
      <c r="N177" s="64"/>
      <c r="O177" s="64"/>
      <c r="P177" s="64"/>
      <c r="Q177" s="64"/>
      <c r="R177" s="64"/>
      <c r="S177" s="64"/>
      <c r="T177" s="64"/>
      <c r="U177" s="64"/>
      <c r="V177" s="72"/>
      <c r="W177" s="64"/>
      <c r="X177" s="64"/>
      <c r="Y177" s="64"/>
      <c r="Z177" s="64"/>
      <c r="AA177" s="64"/>
      <c r="AB177" s="64"/>
      <c r="AC177" s="64"/>
      <c r="AD177" s="64"/>
      <c r="AE177" s="64"/>
      <c r="AF177" s="64"/>
      <c r="AG177" s="64"/>
      <c r="AH177" s="64"/>
      <c r="AI177" s="64"/>
      <c r="AJ177" s="64"/>
      <c r="AK177" s="64"/>
      <c r="AL177" s="64"/>
      <c r="AM177" s="66"/>
    </row>
    <row r="178" spans="1:39" x14ac:dyDescent="0.2">
      <c r="A178" s="61"/>
      <c r="B178" s="62"/>
      <c r="C178" s="63"/>
      <c r="D178" s="64"/>
      <c r="E178" s="64"/>
      <c r="F178" s="64"/>
      <c r="G178" s="64"/>
      <c r="H178" s="64"/>
      <c r="I178" s="64"/>
      <c r="J178" s="64"/>
      <c r="K178" s="64"/>
      <c r="L178" s="64"/>
      <c r="M178" s="64"/>
      <c r="N178" s="64"/>
      <c r="O178" s="64"/>
      <c r="P178" s="64"/>
      <c r="Q178" s="64"/>
      <c r="R178" s="64"/>
      <c r="S178" s="64"/>
      <c r="T178" s="64"/>
      <c r="U178" s="64"/>
      <c r="V178" s="72"/>
      <c r="W178" s="64"/>
      <c r="X178" s="64"/>
      <c r="Y178" s="64"/>
      <c r="Z178" s="64"/>
      <c r="AA178" s="64"/>
      <c r="AB178" s="64"/>
      <c r="AC178" s="64"/>
      <c r="AD178" s="64"/>
      <c r="AE178" s="64"/>
      <c r="AF178" s="64"/>
      <c r="AG178" s="64"/>
      <c r="AH178" s="64"/>
      <c r="AI178" s="64"/>
      <c r="AJ178" s="64"/>
      <c r="AK178" s="64"/>
      <c r="AL178" s="64"/>
      <c r="AM178" s="66"/>
    </row>
    <row r="179" spans="1:39" x14ac:dyDescent="0.2">
      <c r="A179" s="61"/>
      <c r="B179" s="62"/>
      <c r="C179" s="63"/>
      <c r="D179" s="64"/>
      <c r="E179" s="64"/>
      <c r="F179" s="64"/>
      <c r="G179" s="64"/>
      <c r="H179" s="64"/>
      <c r="I179" s="64"/>
      <c r="J179" s="64"/>
      <c r="K179" s="64"/>
      <c r="L179" s="64"/>
      <c r="M179" s="64"/>
      <c r="N179" s="64"/>
      <c r="O179" s="64"/>
      <c r="P179" s="64"/>
      <c r="Q179" s="64"/>
      <c r="R179" s="64"/>
      <c r="S179" s="64"/>
      <c r="T179" s="64"/>
      <c r="U179" s="64"/>
      <c r="V179" s="72"/>
      <c r="W179" s="64"/>
      <c r="X179" s="64"/>
      <c r="Y179" s="64"/>
      <c r="Z179" s="64"/>
      <c r="AA179" s="64"/>
      <c r="AB179" s="64"/>
      <c r="AC179" s="64"/>
      <c r="AD179" s="64"/>
      <c r="AE179" s="64"/>
      <c r="AF179" s="64"/>
      <c r="AG179" s="64"/>
      <c r="AH179" s="64"/>
      <c r="AI179" s="64"/>
      <c r="AJ179" s="64"/>
      <c r="AK179" s="64"/>
      <c r="AL179" s="64"/>
      <c r="AM179" s="66"/>
    </row>
    <row r="180" spans="1:39" x14ac:dyDescent="0.2">
      <c r="A180" s="61"/>
      <c r="B180" s="62"/>
      <c r="C180" s="63"/>
      <c r="D180" s="64"/>
      <c r="E180" s="64"/>
      <c r="F180" s="64"/>
      <c r="G180" s="64"/>
      <c r="H180" s="64"/>
      <c r="I180" s="64"/>
      <c r="J180" s="64"/>
      <c r="K180" s="64"/>
      <c r="L180" s="64"/>
      <c r="M180" s="64"/>
      <c r="N180" s="64"/>
      <c r="O180" s="64"/>
      <c r="P180" s="64"/>
      <c r="Q180" s="64"/>
      <c r="R180" s="64"/>
      <c r="S180" s="64"/>
      <c r="T180" s="64"/>
      <c r="U180" s="64"/>
      <c r="V180" s="72"/>
      <c r="W180" s="64"/>
      <c r="X180" s="64"/>
      <c r="Y180" s="64"/>
      <c r="Z180" s="64"/>
      <c r="AA180" s="64"/>
      <c r="AB180" s="64"/>
      <c r="AC180" s="64"/>
      <c r="AD180" s="64"/>
      <c r="AE180" s="64"/>
      <c r="AF180" s="64"/>
      <c r="AG180" s="64"/>
      <c r="AH180" s="64"/>
      <c r="AI180" s="64"/>
      <c r="AJ180" s="64"/>
      <c r="AK180" s="64"/>
      <c r="AL180" s="64"/>
      <c r="AM180" s="66"/>
    </row>
    <row r="181" spans="1:39" x14ac:dyDescent="0.2">
      <c r="A181" s="61"/>
      <c r="B181" s="62"/>
      <c r="C181" s="63"/>
      <c r="D181" s="64"/>
      <c r="E181" s="64"/>
      <c r="F181" s="64"/>
      <c r="G181" s="64"/>
      <c r="H181" s="64"/>
      <c r="I181" s="64"/>
      <c r="J181" s="64"/>
      <c r="K181" s="64"/>
      <c r="L181" s="64"/>
      <c r="M181" s="64"/>
      <c r="N181" s="64"/>
      <c r="O181" s="64"/>
      <c r="P181" s="64"/>
      <c r="Q181" s="64"/>
      <c r="R181" s="64"/>
      <c r="S181" s="64"/>
      <c r="T181" s="64"/>
      <c r="U181" s="64"/>
      <c r="V181" s="72"/>
      <c r="W181" s="64"/>
      <c r="X181" s="64"/>
      <c r="Y181" s="64"/>
      <c r="Z181" s="64"/>
      <c r="AA181" s="64"/>
      <c r="AB181" s="64"/>
      <c r="AC181" s="64"/>
      <c r="AD181" s="64"/>
      <c r="AE181" s="64"/>
      <c r="AF181" s="64"/>
      <c r="AG181" s="64"/>
      <c r="AH181" s="64"/>
      <c r="AI181" s="64"/>
      <c r="AJ181" s="64"/>
      <c r="AK181" s="64"/>
      <c r="AL181" s="64"/>
      <c r="AM181" s="66"/>
    </row>
    <row r="182" spans="1:39" x14ac:dyDescent="0.2">
      <c r="A182" s="61"/>
      <c r="B182" s="62"/>
      <c r="C182" s="63"/>
      <c r="D182" s="64"/>
      <c r="E182" s="64"/>
      <c r="F182" s="64"/>
      <c r="G182" s="64"/>
      <c r="H182" s="64"/>
      <c r="I182" s="64"/>
      <c r="J182" s="64"/>
      <c r="K182" s="64"/>
      <c r="L182" s="64"/>
      <c r="M182" s="64"/>
      <c r="N182" s="64"/>
      <c r="O182" s="64"/>
      <c r="P182" s="64"/>
      <c r="Q182" s="64"/>
      <c r="R182" s="64"/>
      <c r="S182" s="64"/>
      <c r="T182" s="64"/>
      <c r="U182" s="64"/>
      <c r="V182" s="72"/>
      <c r="W182" s="64"/>
      <c r="X182" s="64"/>
      <c r="Y182" s="64"/>
      <c r="Z182" s="64"/>
      <c r="AA182" s="64"/>
      <c r="AB182" s="64"/>
      <c r="AC182" s="64"/>
      <c r="AD182" s="64"/>
      <c r="AE182" s="64"/>
      <c r="AF182" s="64"/>
      <c r="AG182" s="64"/>
      <c r="AH182" s="64"/>
      <c r="AI182" s="64"/>
      <c r="AJ182" s="64"/>
      <c r="AK182" s="64"/>
      <c r="AL182" s="64"/>
      <c r="AM182" s="66"/>
    </row>
    <row r="183" spans="1:39" x14ac:dyDescent="0.2">
      <c r="A183" s="61"/>
      <c r="B183" s="62"/>
      <c r="C183" s="63"/>
      <c r="D183" s="64"/>
      <c r="E183" s="64"/>
      <c r="F183" s="64"/>
      <c r="G183" s="64"/>
      <c r="H183" s="64"/>
      <c r="I183" s="64"/>
      <c r="J183" s="64"/>
      <c r="K183" s="64"/>
      <c r="L183" s="64"/>
      <c r="M183" s="64"/>
      <c r="N183" s="64"/>
      <c r="O183" s="64"/>
      <c r="P183" s="64"/>
      <c r="Q183" s="64"/>
      <c r="R183" s="64"/>
      <c r="S183" s="64"/>
      <c r="T183" s="64"/>
      <c r="U183" s="64"/>
      <c r="V183" s="72"/>
      <c r="W183" s="64"/>
      <c r="X183" s="64"/>
      <c r="Y183" s="64"/>
      <c r="Z183" s="64"/>
      <c r="AA183" s="64"/>
      <c r="AB183" s="64"/>
      <c r="AC183" s="64"/>
      <c r="AD183" s="64"/>
      <c r="AE183" s="64"/>
      <c r="AF183" s="64"/>
      <c r="AG183" s="64"/>
      <c r="AH183" s="64"/>
      <c r="AI183" s="64"/>
      <c r="AJ183" s="64"/>
      <c r="AK183" s="64"/>
      <c r="AL183" s="64"/>
      <c r="AM183" s="66"/>
    </row>
    <row r="184" spans="1:39" x14ac:dyDescent="0.2">
      <c r="A184" s="61"/>
      <c r="B184" s="62"/>
      <c r="C184" s="63"/>
      <c r="D184" s="64"/>
      <c r="E184" s="64"/>
      <c r="F184" s="64"/>
      <c r="G184" s="64"/>
      <c r="H184" s="64"/>
      <c r="I184" s="64"/>
      <c r="J184" s="64"/>
      <c r="K184" s="64"/>
      <c r="L184" s="64"/>
      <c r="M184" s="64"/>
      <c r="N184" s="64"/>
      <c r="O184" s="64"/>
      <c r="P184" s="64"/>
      <c r="Q184" s="64"/>
      <c r="R184" s="64"/>
      <c r="S184" s="64"/>
      <c r="T184" s="64"/>
      <c r="U184" s="64"/>
      <c r="V184" s="72"/>
      <c r="W184" s="64"/>
      <c r="X184" s="64"/>
      <c r="Y184" s="64"/>
      <c r="Z184" s="64"/>
      <c r="AA184" s="64"/>
      <c r="AB184" s="64"/>
      <c r="AC184" s="64"/>
      <c r="AD184" s="64"/>
      <c r="AE184" s="64"/>
      <c r="AF184" s="64"/>
      <c r="AG184" s="64"/>
      <c r="AH184" s="64"/>
      <c r="AI184" s="64"/>
      <c r="AJ184" s="64"/>
      <c r="AK184" s="64"/>
      <c r="AL184" s="64"/>
      <c r="AM184" s="66"/>
    </row>
    <row r="185" spans="1:39" x14ac:dyDescent="0.2">
      <c r="A185" s="61"/>
      <c r="B185" s="62"/>
      <c r="C185" s="63"/>
      <c r="D185" s="64"/>
      <c r="E185" s="64"/>
      <c r="F185" s="64"/>
      <c r="G185" s="64"/>
      <c r="H185" s="64"/>
      <c r="I185" s="64"/>
      <c r="J185" s="64"/>
      <c r="K185" s="64"/>
      <c r="L185" s="64"/>
      <c r="M185" s="64"/>
      <c r="N185" s="64"/>
      <c r="O185" s="64"/>
      <c r="P185" s="64"/>
      <c r="Q185" s="64"/>
      <c r="R185" s="64"/>
      <c r="S185" s="64"/>
      <c r="T185" s="64"/>
      <c r="U185" s="64"/>
      <c r="V185" s="72"/>
      <c r="W185" s="64"/>
      <c r="X185" s="64"/>
      <c r="Y185" s="64"/>
      <c r="Z185" s="64"/>
      <c r="AA185" s="64"/>
      <c r="AB185" s="64"/>
      <c r="AC185" s="64"/>
      <c r="AD185" s="64"/>
      <c r="AE185" s="64"/>
      <c r="AF185" s="64"/>
      <c r="AG185" s="64"/>
      <c r="AH185" s="64"/>
      <c r="AI185" s="64"/>
      <c r="AJ185" s="64"/>
      <c r="AK185" s="64"/>
      <c r="AL185" s="64"/>
      <c r="AM185" s="66"/>
    </row>
    <row r="186" spans="1:39" x14ac:dyDescent="0.2">
      <c r="A186" s="61"/>
      <c r="B186" s="62"/>
      <c r="C186" s="63"/>
      <c r="D186" s="64"/>
      <c r="E186" s="64"/>
      <c r="F186" s="64"/>
      <c r="G186" s="64"/>
      <c r="H186" s="64"/>
      <c r="I186" s="64"/>
      <c r="J186" s="64"/>
      <c r="K186" s="64"/>
      <c r="L186" s="64"/>
      <c r="M186" s="64"/>
      <c r="N186" s="64"/>
      <c r="O186" s="64"/>
      <c r="P186" s="64"/>
      <c r="Q186" s="64"/>
      <c r="R186" s="64"/>
      <c r="S186" s="64"/>
      <c r="T186" s="64"/>
      <c r="U186" s="64"/>
      <c r="V186" s="72"/>
      <c r="W186" s="64"/>
      <c r="X186" s="64"/>
      <c r="Y186" s="64"/>
      <c r="Z186" s="64"/>
      <c r="AA186" s="64"/>
      <c r="AB186" s="64"/>
      <c r="AC186" s="64"/>
      <c r="AD186" s="64"/>
      <c r="AE186" s="64"/>
      <c r="AF186" s="64"/>
      <c r="AG186" s="64"/>
      <c r="AH186" s="64"/>
      <c r="AI186" s="64"/>
      <c r="AJ186" s="64"/>
      <c r="AK186" s="64"/>
      <c r="AL186" s="64"/>
      <c r="AM186" s="66"/>
    </row>
    <row r="187" spans="1:39" x14ac:dyDescent="0.2">
      <c r="A187" s="61"/>
      <c r="B187" s="62"/>
      <c r="C187" s="63"/>
      <c r="D187" s="64"/>
      <c r="E187" s="64"/>
      <c r="F187" s="64"/>
      <c r="G187" s="64"/>
      <c r="H187" s="64"/>
      <c r="I187" s="64"/>
      <c r="J187" s="64"/>
      <c r="K187" s="64"/>
      <c r="L187" s="64"/>
      <c r="M187" s="64"/>
      <c r="N187" s="64"/>
      <c r="O187" s="64"/>
      <c r="P187" s="64"/>
      <c r="Q187" s="64"/>
      <c r="R187" s="64"/>
      <c r="S187" s="64"/>
      <c r="T187" s="64"/>
      <c r="U187" s="64"/>
      <c r="V187" s="72"/>
      <c r="W187" s="64"/>
      <c r="X187" s="64"/>
      <c r="Y187" s="64"/>
      <c r="Z187" s="64"/>
      <c r="AA187" s="64"/>
      <c r="AB187" s="64"/>
      <c r="AC187" s="64"/>
      <c r="AD187" s="64"/>
      <c r="AE187" s="64"/>
      <c r="AF187" s="64"/>
      <c r="AG187" s="64"/>
      <c r="AH187" s="64"/>
      <c r="AI187" s="64"/>
      <c r="AJ187" s="64"/>
      <c r="AK187" s="64"/>
      <c r="AL187" s="64"/>
      <c r="AM187" s="66"/>
    </row>
    <row r="188" spans="1:39" x14ac:dyDescent="0.2">
      <c r="A188" s="61"/>
      <c r="B188" s="62"/>
      <c r="C188" s="63"/>
      <c r="D188" s="64"/>
      <c r="E188" s="64"/>
      <c r="F188" s="64"/>
      <c r="G188" s="64"/>
      <c r="H188" s="64"/>
      <c r="I188" s="64"/>
      <c r="J188" s="64"/>
      <c r="K188" s="64"/>
      <c r="L188" s="64"/>
      <c r="M188" s="64"/>
      <c r="N188" s="64"/>
      <c r="O188" s="64"/>
      <c r="P188" s="64"/>
      <c r="Q188" s="64"/>
      <c r="R188" s="64"/>
      <c r="S188" s="64"/>
      <c r="T188" s="64"/>
      <c r="U188" s="64"/>
      <c r="V188" s="72"/>
      <c r="W188" s="64"/>
      <c r="X188" s="64"/>
      <c r="Y188" s="64"/>
      <c r="Z188" s="64"/>
      <c r="AA188" s="64"/>
      <c r="AB188" s="64"/>
      <c r="AC188" s="64"/>
      <c r="AD188" s="64"/>
      <c r="AE188" s="64"/>
      <c r="AF188" s="64"/>
      <c r="AG188" s="64"/>
      <c r="AH188" s="64"/>
      <c r="AI188" s="64"/>
      <c r="AJ188" s="64"/>
      <c r="AK188" s="64"/>
      <c r="AL188" s="64"/>
      <c r="AM188" s="66"/>
    </row>
    <row r="189" spans="1:39" x14ac:dyDescent="0.2">
      <c r="A189" s="61"/>
      <c r="B189" s="62"/>
      <c r="C189" s="63"/>
      <c r="D189" s="64"/>
      <c r="E189" s="64"/>
      <c r="F189" s="64"/>
      <c r="G189" s="64"/>
      <c r="H189" s="64"/>
      <c r="I189" s="64"/>
      <c r="J189" s="64"/>
      <c r="K189" s="64"/>
      <c r="L189" s="64"/>
      <c r="M189" s="64"/>
      <c r="N189" s="64"/>
      <c r="O189" s="64"/>
      <c r="P189" s="64"/>
      <c r="Q189" s="64"/>
      <c r="R189" s="64"/>
      <c r="S189" s="64"/>
      <c r="T189" s="64"/>
      <c r="U189" s="64"/>
      <c r="V189" s="72"/>
      <c r="W189" s="64"/>
      <c r="X189" s="64"/>
      <c r="Y189" s="64"/>
      <c r="Z189" s="64"/>
      <c r="AA189" s="64"/>
      <c r="AB189" s="64"/>
      <c r="AC189" s="64"/>
      <c r="AD189" s="64"/>
      <c r="AE189" s="64"/>
      <c r="AF189" s="64"/>
      <c r="AG189" s="64"/>
      <c r="AH189" s="64"/>
      <c r="AI189" s="64"/>
      <c r="AJ189" s="64"/>
      <c r="AK189" s="64"/>
      <c r="AL189" s="64"/>
      <c r="AM189" s="66"/>
    </row>
    <row r="190" spans="1:39" x14ac:dyDescent="0.2">
      <c r="A190" s="61"/>
      <c r="B190" s="62"/>
      <c r="C190" s="63"/>
      <c r="D190" s="64"/>
      <c r="E190" s="64"/>
      <c r="F190" s="64"/>
      <c r="G190" s="64"/>
      <c r="H190" s="64"/>
      <c r="I190" s="64"/>
      <c r="J190" s="64"/>
      <c r="K190" s="64"/>
      <c r="L190" s="64"/>
      <c r="M190" s="64"/>
      <c r="N190" s="64"/>
      <c r="O190" s="64"/>
      <c r="P190" s="64"/>
      <c r="Q190" s="64"/>
      <c r="R190" s="64"/>
      <c r="S190" s="64"/>
      <c r="T190" s="64"/>
      <c r="U190" s="64"/>
      <c r="V190" s="72"/>
      <c r="W190" s="64"/>
      <c r="X190" s="64"/>
      <c r="Y190" s="64"/>
      <c r="Z190" s="64"/>
      <c r="AA190" s="64"/>
      <c r="AB190" s="64"/>
      <c r="AC190" s="64"/>
      <c r="AD190" s="64"/>
      <c r="AE190" s="64"/>
      <c r="AF190" s="64"/>
      <c r="AG190" s="64"/>
      <c r="AH190" s="64"/>
      <c r="AI190" s="64"/>
      <c r="AJ190" s="64"/>
      <c r="AK190" s="64"/>
      <c r="AL190" s="64"/>
      <c r="AM190" s="66"/>
    </row>
    <row r="191" spans="1:39" x14ac:dyDescent="0.2">
      <c r="A191" s="61"/>
      <c r="B191" s="62"/>
      <c r="C191" s="63"/>
      <c r="D191" s="64"/>
      <c r="E191" s="64"/>
      <c r="F191" s="64"/>
      <c r="G191" s="64"/>
      <c r="H191" s="64"/>
      <c r="I191" s="64"/>
      <c r="J191" s="64"/>
      <c r="K191" s="64"/>
      <c r="L191" s="64"/>
      <c r="M191" s="64"/>
      <c r="N191" s="64"/>
      <c r="O191" s="64"/>
      <c r="P191" s="64"/>
      <c r="Q191" s="64"/>
      <c r="R191" s="64"/>
      <c r="S191" s="64"/>
      <c r="T191" s="64"/>
      <c r="U191" s="64"/>
      <c r="V191" s="72"/>
      <c r="W191" s="64"/>
      <c r="X191" s="64"/>
      <c r="Y191" s="64"/>
      <c r="Z191" s="64"/>
      <c r="AA191" s="64"/>
      <c r="AB191" s="64"/>
      <c r="AC191" s="64"/>
      <c r="AD191" s="64"/>
      <c r="AE191" s="64"/>
      <c r="AF191" s="64"/>
      <c r="AG191" s="64"/>
      <c r="AH191" s="64"/>
      <c r="AI191" s="64"/>
      <c r="AJ191" s="64"/>
      <c r="AK191" s="64"/>
      <c r="AL191" s="64"/>
      <c r="AM191" s="66"/>
    </row>
    <row r="192" spans="1:39" x14ac:dyDescent="0.2">
      <c r="A192" s="61"/>
      <c r="B192" s="62"/>
      <c r="C192" s="63"/>
      <c r="D192" s="64"/>
      <c r="E192" s="64"/>
      <c r="F192" s="64"/>
      <c r="G192" s="64"/>
      <c r="H192" s="64"/>
      <c r="I192" s="64"/>
      <c r="J192" s="64"/>
      <c r="K192" s="64"/>
      <c r="L192" s="64"/>
      <c r="M192" s="64"/>
      <c r="N192" s="64"/>
      <c r="O192" s="64"/>
      <c r="P192" s="64"/>
      <c r="Q192" s="64"/>
      <c r="R192" s="64"/>
      <c r="S192" s="64"/>
      <c r="T192" s="64"/>
      <c r="U192" s="64"/>
      <c r="V192" s="72"/>
      <c r="W192" s="64"/>
      <c r="X192" s="64"/>
      <c r="Y192" s="64"/>
      <c r="Z192" s="64"/>
      <c r="AA192" s="64"/>
      <c r="AB192" s="64"/>
      <c r="AC192" s="64"/>
      <c r="AD192" s="64"/>
      <c r="AE192" s="64"/>
      <c r="AF192" s="64"/>
      <c r="AG192" s="64"/>
      <c r="AH192" s="64"/>
      <c r="AI192" s="64"/>
      <c r="AJ192" s="64"/>
      <c r="AK192" s="64"/>
      <c r="AL192" s="64"/>
      <c r="AM192" s="66"/>
    </row>
    <row r="193" spans="1:39" x14ac:dyDescent="0.2">
      <c r="A193" s="61"/>
      <c r="B193" s="62"/>
      <c r="C193" s="63"/>
      <c r="D193" s="64"/>
      <c r="E193" s="64"/>
      <c r="F193" s="64"/>
      <c r="G193" s="64"/>
      <c r="H193" s="64"/>
      <c r="I193" s="64"/>
      <c r="J193" s="64"/>
      <c r="K193" s="64"/>
      <c r="L193" s="64"/>
      <c r="M193" s="64"/>
      <c r="N193" s="64"/>
      <c r="O193" s="64"/>
      <c r="P193" s="64"/>
      <c r="Q193" s="64"/>
      <c r="R193" s="64"/>
      <c r="S193" s="64"/>
      <c r="T193" s="64"/>
      <c r="U193" s="64"/>
      <c r="V193" s="72"/>
      <c r="W193" s="64"/>
      <c r="X193" s="64"/>
      <c r="Y193" s="64"/>
      <c r="Z193" s="64"/>
      <c r="AA193" s="64"/>
      <c r="AB193" s="64"/>
      <c r="AC193" s="64"/>
      <c r="AD193" s="64"/>
      <c r="AE193" s="64"/>
      <c r="AF193" s="64"/>
      <c r="AG193" s="64"/>
      <c r="AH193" s="64"/>
      <c r="AI193" s="64"/>
      <c r="AJ193" s="64"/>
      <c r="AK193" s="64"/>
      <c r="AL193" s="64"/>
      <c r="AM193" s="66"/>
    </row>
    <row r="194" spans="1:39" x14ac:dyDescent="0.2">
      <c r="A194" s="61"/>
      <c r="B194" s="62"/>
      <c r="C194" s="63"/>
      <c r="D194" s="64"/>
      <c r="E194" s="64"/>
      <c r="F194" s="64"/>
      <c r="G194" s="64"/>
      <c r="H194" s="64"/>
      <c r="I194" s="64"/>
      <c r="J194" s="64"/>
      <c r="K194" s="64"/>
      <c r="L194" s="64"/>
      <c r="M194" s="64"/>
      <c r="N194" s="64"/>
      <c r="O194" s="64"/>
      <c r="P194" s="64"/>
      <c r="Q194" s="64"/>
      <c r="R194" s="64"/>
      <c r="S194" s="64"/>
      <c r="T194" s="64"/>
      <c r="U194" s="64"/>
      <c r="V194" s="72"/>
      <c r="W194" s="64"/>
      <c r="X194" s="64"/>
      <c r="Y194" s="64"/>
      <c r="Z194" s="64"/>
      <c r="AA194" s="64"/>
      <c r="AB194" s="64"/>
      <c r="AC194" s="64"/>
      <c r="AD194" s="64"/>
      <c r="AE194" s="64"/>
      <c r="AF194" s="64"/>
      <c r="AG194" s="64"/>
      <c r="AH194" s="64"/>
      <c r="AI194" s="64"/>
      <c r="AJ194" s="64"/>
      <c r="AK194" s="64"/>
      <c r="AL194" s="64"/>
      <c r="AM194" s="66"/>
    </row>
    <row r="195" spans="1:39" x14ac:dyDescent="0.2">
      <c r="A195" s="73"/>
      <c r="B195" s="74"/>
      <c r="C195" s="75"/>
      <c r="D195" s="71"/>
      <c r="E195" s="71"/>
      <c r="F195" s="71"/>
      <c r="G195" s="71"/>
      <c r="H195" s="71"/>
      <c r="I195" s="71"/>
      <c r="J195" s="71"/>
      <c r="K195" s="71"/>
      <c r="L195" s="71"/>
      <c r="M195" s="71"/>
      <c r="N195" s="71"/>
      <c r="O195" s="71"/>
      <c r="P195" s="71"/>
      <c r="Q195" s="71"/>
      <c r="R195" s="71"/>
      <c r="S195" s="71"/>
      <c r="T195" s="71"/>
      <c r="U195" s="71"/>
      <c r="V195" s="197"/>
      <c r="W195" s="71"/>
      <c r="X195" s="71"/>
      <c r="Y195" s="71"/>
      <c r="Z195" s="71"/>
      <c r="AA195" s="71"/>
      <c r="AB195" s="71"/>
      <c r="AC195" s="71"/>
      <c r="AD195" s="71"/>
      <c r="AE195" s="71"/>
      <c r="AF195" s="71"/>
      <c r="AG195" s="71"/>
      <c r="AH195" s="71"/>
      <c r="AI195" s="71"/>
      <c r="AJ195" s="71"/>
      <c r="AK195" s="71"/>
      <c r="AL195" s="71"/>
      <c r="AM195" s="76"/>
    </row>
  </sheetData>
  <sheetProtection algorithmName="SHA-512" hashValue="5T1THUUUekup4PfsAUUVfpkuWKdZcWrUb5JA6PAzSo9C9uj6PC9rTuVNpp3Wbp9c0mW0+oLNmwOA9hqaqneXzA==" saltValue="s2fUy6/QE2XUycAERTpNFQ==" spinCount="100000" sheet="1" objects="1" scenarios="1"/>
  <protectedRanges>
    <protectedRange sqref="A76:AM195" name="Free"/>
  </protectedRanges>
  <mergeCells count="7">
    <mergeCell ref="AG1:AL1"/>
    <mergeCell ref="D1:H1"/>
    <mergeCell ref="I1:N1"/>
    <mergeCell ref="O1:S1"/>
    <mergeCell ref="T1:Y1"/>
    <mergeCell ref="Z1:AA1"/>
    <mergeCell ref="AB1:AD1"/>
  </mergeCells>
  <phoneticPr fontId="20"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AR150"/>
  <sheetViews>
    <sheetView topLeftCell="C1" zoomScale="70" zoomScaleNormal="70" workbookViewId="0">
      <pane xSplit="5" ySplit="1" topLeftCell="H2" activePane="bottomRight" state="frozen"/>
      <selection activeCell="C1" sqref="C1"/>
      <selection pane="topRight" activeCell="H1" sqref="H1"/>
      <selection pane="bottomLeft" activeCell="C2" sqref="C2"/>
      <selection pane="bottomRight" activeCell="C32" sqref="C32:AQ32"/>
    </sheetView>
  </sheetViews>
  <sheetFormatPr baseColWidth="10" defaultColWidth="11.42578125" defaultRowHeight="15" x14ac:dyDescent="0.25"/>
  <cols>
    <col min="1" max="1" width="73.28515625" style="87" hidden="1" customWidth="1"/>
    <col min="2" max="2" width="60.85546875" style="87" hidden="1" customWidth="1"/>
    <col min="3" max="3" width="16.7109375" style="87" customWidth="1"/>
    <col min="4" max="4" width="44.140625" style="87" customWidth="1"/>
    <col min="5" max="5" width="10" style="100" customWidth="1"/>
    <col min="6" max="6" width="19.42578125" style="101" customWidth="1"/>
    <col min="7" max="7" width="18.5703125" style="100" customWidth="1"/>
    <col min="8" max="8" width="13.5703125" style="87" customWidth="1"/>
    <col min="9" max="9" width="19.42578125" style="100" customWidth="1"/>
    <col min="10" max="10" width="10.140625" style="87" customWidth="1"/>
    <col min="11" max="43" width="8.7109375" style="87" customWidth="1"/>
    <col min="44" max="44" width="44.5703125" style="101" customWidth="1"/>
    <col min="45" max="16384" width="11.42578125" style="87"/>
  </cols>
  <sheetData>
    <row r="1" spans="1:44" s="211" customFormat="1" ht="66.75" customHeight="1" x14ac:dyDescent="0.25">
      <c r="A1" s="207" t="s">
        <v>202</v>
      </c>
      <c r="B1" s="207" t="s">
        <v>203</v>
      </c>
      <c r="C1" s="207" t="s">
        <v>204</v>
      </c>
      <c r="D1" s="207" t="s">
        <v>205</v>
      </c>
      <c r="E1" s="208" t="s">
        <v>206</v>
      </c>
      <c r="F1" s="209" t="s">
        <v>207</v>
      </c>
      <c r="G1" s="208" t="s">
        <v>5</v>
      </c>
      <c r="H1" s="207" t="s">
        <v>208</v>
      </c>
      <c r="I1" s="208" t="s">
        <v>209</v>
      </c>
      <c r="J1" s="208" t="s">
        <v>210</v>
      </c>
      <c r="K1" s="208" t="s">
        <v>211</v>
      </c>
      <c r="L1" s="208" t="s">
        <v>212</v>
      </c>
      <c r="M1" s="208" t="s">
        <v>213</v>
      </c>
      <c r="N1" s="208" t="s">
        <v>214</v>
      </c>
      <c r="O1" s="208" t="s">
        <v>215</v>
      </c>
      <c r="P1" s="208" t="s">
        <v>216</v>
      </c>
      <c r="Q1" s="208" t="s">
        <v>217</v>
      </c>
      <c r="R1" s="208" t="s">
        <v>341</v>
      </c>
      <c r="S1" s="208" t="s">
        <v>218</v>
      </c>
      <c r="T1" s="208" t="s">
        <v>342</v>
      </c>
      <c r="U1" s="208" t="s">
        <v>219</v>
      </c>
      <c r="V1" s="208" t="s">
        <v>343</v>
      </c>
      <c r="W1" s="208" t="s">
        <v>220</v>
      </c>
      <c r="X1" s="208" t="s">
        <v>344</v>
      </c>
      <c r="Y1" s="208" t="s">
        <v>349</v>
      </c>
      <c r="Z1" s="208" t="s">
        <v>350</v>
      </c>
      <c r="AA1" s="208" t="s">
        <v>221</v>
      </c>
      <c r="AB1" s="208" t="s">
        <v>222</v>
      </c>
      <c r="AC1" s="208" t="s">
        <v>223</v>
      </c>
      <c r="AD1" s="208" t="s">
        <v>224</v>
      </c>
      <c r="AE1" s="208" t="s">
        <v>225</v>
      </c>
      <c r="AF1" s="208" t="s">
        <v>226</v>
      </c>
      <c r="AG1" s="208" t="s">
        <v>227</v>
      </c>
      <c r="AH1" s="208" t="s">
        <v>228</v>
      </c>
      <c r="AI1" s="208" t="s">
        <v>345</v>
      </c>
      <c r="AJ1" s="208" t="s">
        <v>229</v>
      </c>
      <c r="AK1" s="208" t="s">
        <v>346</v>
      </c>
      <c r="AL1" s="208" t="s">
        <v>230</v>
      </c>
      <c r="AM1" s="208" t="s">
        <v>347</v>
      </c>
      <c r="AN1" s="208" t="s">
        <v>231</v>
      </c>
      <c r="AO1" s="208" t="s">
        <v>232</v>
      </c>
      <c r="AP1" s="208" t="s">
        <v>351</v>
      </c>
      <c r="AQ1" s="208" t="s">
        <v>352</v>
      </c>
      <c r="AR1" s="210" t="s">
        <v>233</v>
      </c>
    </row>
    <row r="2" spans="1:44" x14ac:dyDescent="0.25">
      <c r="A2" s="80" t="str">
        <f>Requirment[[#This Row],[Production]]&amp;"_"&amp;Requirment[[#This Row],[Scenarios ]]&amp;"_"&amp;Requirment[[#This Row],[Nb phasis]]&amp;"_"&amp;Requirment[[#This Row],[Formula_Name]]</f>
        <v>Broiler_2.4 Kg alive 63 days_3_Finishing</v>
      </c>
      <c r="B2" s="80" t="str">
        <f>Requirment[[#This Row],[Production]]&amp;"_"&amp;Requirment[[#This Row],[Scenarios ]]&amp;"_"&amp;Requirment[[#This Row],[Nb phasis]]</f>
        <v>Broiler_2.4 Kg alive 63 days_3</v>
      </c>
      <c r="C2" s="80" t="s">
        <v>234</v>
      </c>
      <c r="D2" s="80" t="s">
        <v>353</v>
      </c>
      <c r="E2" s="81">
        <v>3</v>
      </c>
      <c r="F2" s="82" t="s">
        <v>235</v>
      </c>
      <c r="G2" s="81" t="s">
        <v>236</v>
      </c>
      <c r="H2" s="80" t="s">
        <v>237</v>
      </c>
      <c r="I2" s="81" t="s">
        <v>238</v>
      </c>
      <c r="J2" s="83">
        <v>11.9</v>
      </c>
      <c r="K2" s="84">
        <v>17</v>
      </c>
      <c r="L2" s="84">
        <v>4</v>
      </c>
      <c r="M2" s="84">
        <v>2</v>
      </c>
      <c r="N2" s="84">
        <v>0.7</v>
      </c>
      <c r="O2" s="84">
        <v>0.5</v>
      </c>
      <c r="P2" s="84">
        <v>0.1</v>
      </c>
      <c r="Q2" s="85">
        <v>0.7</v>
      </c>
      <c r="R2" s="85">
        <v>0.63062999999999991</v>
      </c>
      <c r="S2" s="85">
        <v>0.3</v>
      </c>
      <c r="T2" s="85">
        <v>0.27026999999999995</v>
      </c>
      <c r="U2" s="85">
        <v>0.52499999999999991</v>
      </c>
      <c r="V2" s="85">
        <v>0.47297249999999991</v>
      </c>
      <c r="W2" s="85">
        <v>0.48999999999999994</v>
      </c>
      <c r="X2" s="85">
        <v>0.44144099999999992</v>
      </c>
      <c r="Y2" s="85">
        <v>0.11899999999999999</v>
      </c>
      <c r="Z2" s="85">
        <v>0.1072071</v>
      </c>
      <c r="AA2" s="85">
        <v>4.9372384937238493E-2</v>
      </c>
      <c r="AB2" s="84">
        <v>17</v>
      </c>
      <c r="AC2" s="84">
        <v>8</v>
      </c>
      <c r="AD2" s="84">
        <v>2</v>
      </c>
      <c r="AE2" s="84">
        <v>0.7</v>
      </c>
      <c r="AF2" s="84">
        <v>0.5</v>
      </c>
      <c r="AG2" s="84">
        <v>0.1</v>
      </c>
      <c r="AH2" s="85">
        <v>0.7</v>
      </c>
      <c r="AI2" s="85">
        <v>0.63062999999999991</v>
      </c>
      <c r="AJ2" s="85">
        <v>0.3</v>
      </c>
      <c r="AK2" s="85">
        <v>0.27026999999999995</v>
      </c>
      <c r="AL2" s="85">
        <v>0.52499999999999991</v>
      </c>
      <c r="AM2" s="85">
        <v>0.47297249999999991</v>
      </c>
      <c r="AN2" s="85">
        <v>0.48999999999999994</v>
      </c>
      <c r="AO2" s="85">
        <v>0.44144099999999992</v>
      </c>
      <c r="AP2" s="85">
        <v>0.11899999999999999</v>
      </c>
      <c r="AQ2" s="85">
        <v>0.1072071</v>
      </c>
      <c r="AR2" s="86"/>
    </row>
    <row r="3" spans="1:44" x14ac:dyDescent="0.25">
      <c r="A3" s="88" t="str">
        <f>Requirment[[#This Row],[Production]]&amp;"_"&amp;Requirment[[#This Row],[Scenarios ]]&amp;"_"&amp;Requirment[[#This Row],[Nb phasis]]&amp;"_"&amp;Requirment[[#This Row],[Formula_Name]]</f>
        <v>Broiler_2.4 Kg alive 63 days_3_Growing</v>
      </c>
      <c r="B3" s="88" t="str">
        <f>Requirment[[#This Row],[Production]]&amp;"_"&amp;Requirment[[#This Row],[Scenarios ]]&amp;"_"&amp;Requirment[[#This Row],[Nb phasis]]</f>
        <v>Broiler_2.4 Kg alive 63 days_3</v>
      </c>
      <c r="C3" s="88" t="s">
        <v>234</v>
      </c>
      <c r="D3" s="88" t="s">
        <v>353</v>
      </c>
      <c r="E3" s="89">
        <v>3</v>
      </c>
      <c r="F3" s="90" t="s">
        <v>239</v>
      </c>
      <c r="G3" s="89" t="s">
        <v>240</v>
      </c>
      <c r="H3" s="88" t="s">
        <v>237</v>
      </c>
      <c r="I3" s="89" t="s">
        <v>241</v>
      </c>
      <c r="J3" s="91">
        <v>11.9</v>
      </c>
      <c r="K3" s="91">
        <v>19</v>
      </c>
      <c r="L3" s="91">
        <v>4</v>
      </c>
      <c r="M3" s="91">
        <v>2</v>
      </c>
      <c r="N3" s="91">
        <v>0.9</v>
      </c>
      <c r="O3" s="91">
        <v>0.7</v>
      </c>
      <c r="P3" s="91">
        <v>0.2</v>
      </c>
      <c r="Q3" s="92">
        <v>0.9</v>
      </c>
      <c r="R3" s="92">
        <v>0.81</v>
      </c>
      <c r="S3" s="92">
        <v>0.3</v>
      </c>
      <c r="T3" s="92">
        <v>0.26999999999999996</v>
      </c>
      <c r="U3" s="92">
        <v>0.68103000000000002</v>
      </c>
      <c r="V3" s="85">
        <v>0.61292700000000011</v>
      </c>
      <c r="W3" s="85">
        <v>0.60812999999999995</v>
      </c>
      <c r="X3" s="85">
        <v>0.54731700000000005</v>
      </c>
      <c r="Y3" s="85">
        <v>0.16200000000000001</v>
      </c>
      <c r="Z3" s="85">
        <v>0.14580000000000001</v>
      </c>
      <c r="AA3" s="93">
        <v>11.9</v>
      </c>
      <c r="AB3" s="93">
        <v>19</v>
      </c>
      <c r="AC3" s="93">
        <v>8</v>
      </c>
      <c r="AD3" s="93">
        <v>2</v>
      </c>
      <c r="AE3" s="93">
        <v>0.9</v>
      </c>
      <c r="AF3" s="93">
        <v>0.7</v>
      </c>
      <c r="AG3" s="93">
        <v>0.2</v>
      </c>
      <c r="AH3" s="94">
        <v>0.9</v>
      </c>
      <c r="AI3" s="93">
        <v>0.81</v>
      </c>
      <c r="AJ3" s="94">
        <v>0.3</v>
      </c>
      <c r="AK3" s="94">
        <v>0.26999999999999996</v>
      </c>
      <c r="AL3" s="94">
        <v>0.68103000000000002</v>
      </c>
      <c r="AM3" s="94">
        <v>0.61292700000000011</v>
      </c>
      <c r="AN3" s="94">
        <v>0.60812999999999995</v>
      </c>
      <c r="AO3" s="94">
        <v>0.54731700000000005</v>
      </c>
      <c r="AP3" s="94">
        <v>0.16200000000000001</v>
      </c>
      <c r="AQ3" s="94">
        <v>0.14580000000000001</v>
      </c>
      <c r="AR3" s="86"/>
    </row>
    <row r="4" spans="1:44" x14ac:dyDescent="0.25">
      <c r="A4" s="80" t="str">
        <f>Requirment[[#This Row],[Production]]&amp;"_"&amp;Requirment[[#This Row],[Scenarios ]]&amp;"_"&amp;Requirment[[#This Row],[Nb phasis]]&amp;"_"&amp;Requirment[[#This Row],[Formula_Name]]</f>
        <v>Broiler_2.4 Kg alive 63 days_3_Starter</v>
      </c>
      <c r="B4" s="80" t="str">
        <f>Requirment[[#This Row],[Production]]&amp;"_"&amp;Requirment[[#This Row],[Scenarios ]]&amp;"_"&amp;Requirment[[#This Row],[Nb phasis]]</f>
        <v>Broiler_2.4 Kg alive 63 days_3</v>
      </c>
      <c r="C4" s="80" t="s">
        <v>234</v>
      </c>
      <c r="D4" s="80" t="s">
        <v>353</v>
      </c>
      <c r="E4" s="81">
        <v>3</v>
      </c>
      <c r="F4" s="82" t="s">
        <v>3</v>
      </c>
      <c r="G4" s="81" t="s">
        <v>242</v>
      </c>
      <c r="H4" s="80" t="s">
        <v>237</v>
      </c>
      <c r="I4" s="81" t="s">
        <v>241</v>
      </c>
      <c r="J4" s="84">
        <v>11.9</v>
      </c>
      <c r="K4" s="84">
        <v>21</v>
      </c>
      <c r="L4" s="84">
        <v>4</v>
      </c>
      <c r="M4" s="84">
        <v>2</v>
      </c>
      <c r="N4" s="84">
        <v>0.9</v>
      </c>
      <c r="O4" s="84">
        <v>0.7</v>
      </c>
      <c r="P4" s="84">
        <v>0.2</v>
      </c>
      <c r="Q4" s="85">
        <v>1</v>
      </c>
      <c r="R4" s="85">
        <v>0.90370000000000006</v>
      </c>
      <c r="S4" s="85">
        <v>0.3</v>
      </c>
      <c r="T4" s="85">
        <v>0.27111000000000002</v>
      </c>
      <c r="U4" s="85">
        <v>0.75559999999999994</v>
      </c>
      <c r="V4" s="85">
        <v>0.68283572000000003</v>
      </c>
      <c r="W4" s="85">
        <v>0.66670000000000007</v>
      </c>
      <c r="X4" s="85">
        <v>0.60249679000000012</v>
      </c>
      <c r="Y4" s="85">
        <v>0.16670000000000001</v>
      </c>
      <c r="Z4" s="85">
        <v>0.15064679000000003</v>
      </c>
      <c r="AA4" s="84">
        <v>11.9</v>
      </c>
      <c r="AB4" s="84">
        <v>21</v>
      </c>
      <c r="AC4" s="84">
        <v>4</v>
      </c>
      <c r="AD4" s="84">
        <v>2</v>
      </c>
      <c r="AE4" s="84">
        <v>0.9</v>
      </c>
      <c r="AF4" s="84">
        <v>0.7</v>
      </c>
      <c r="AG4" s="84">
        <v>0.2</v>
      </c>
      <c r="AH4" s="85">
        <v>1</v>
      </c>
      <c r="AI4" s="85">
        <v>0.90370000000000006</v>
      </c>
      <c r="AJ4" s="85">
        <v>0.3</v>
      </c>
      <c r="AK4" s="85">
        <v>0.27111000000000002</v>
      </c>
      <c r="AL4" s="85">
        <v>0.75559999999999994</v>
      </c>
      <c r="AM4" s="85">
        <v>0.68283572000000003</v>
      </c>
      <c r="AN4" s="85">
        <v>0.66670000000000007</v>
      </c>
      <c r="AO4" s="85">
        <v>0.60249679000000012</v>
      </c>
      <c r="AP4" s="85">
        <v>0.16670000000000001</v>
      </c>
      <c r="AQ4" s="85">
        <v>0.15064679000000003</v>
      </c>
      <c r="AR4" s="95"/>
    </row>
    <row r="5" spans="1:44" x14ac:dyDescent="0.25">
      <c r="A5" s="96" t="str">
        <f>Requirment[[#This Row],[Production]]&amp;"_"&amp;Requirment[[#This Row],[Scenarios ]]&amp;"_"&amp;Requirment[[#This Row],[Nb phasis]]&amp;"_"&amp;Requirment[[#This Row],[Formula_Name]]</f>
        <v>Broiler_2.6 kg alive at 112 days_2 feeds_3_Finishing</v>
      </c>
      <c r="B5" s="96" t="str">
        <f>Requirment[[#This Row],[Production]]&amp;"_"&amp;Requirment[[#This Row],[Scenarios ]]&amp;"_"&amp;Requirment[[#This Row],[Nb phasis]]</f>
        <v>Broiler_2.6 kg alive at 112 days_2 feeds_3</v>
      </c>
      <c r="C5" s="96" t="s">
        <v>234</v>
      </c>
      <c r="D5" s="96" t="s">
        <v>354</v>
      </c>
      <c r="E5" s="97">
        <v>3</v>
      </c>
      <c r="F5" s="98" t="s">
        <v>235</v>
      </c>
      <c r="G5" s="97" t="s">
        <v>243</v>
      </c>
      <c r="H5" s="96" t="s">
        <v>244</v>
      </c>
      <c r="I5" s="97" t="s">
        <v>238</v>
      </c>
      <c r="J5" s="99">
        <v>11.297071129707113</v>
      </c>
      <c r="K5" s="93">
        <v>14</v>
      </c>
      <c r="L5" s="93">
        <v>2</v>
      </c>
      <c r="M5" s="93">
        <v>0</v>
      </c>
      <c r="N5" s="93">
        <v>0.7</v>
      </c>
      <c r="O5" s="93">
        <v>0.3</v>
      </c>
      <c r="P5" s="93">
        <v>0.15</v>
      </c>
      <c r="Q5" s="94">
        <v>0.72150072150072142</v>
      </c>
      <c r="R5" s="93">
        <v>0.65</v>
      </c>
      <c r="S5" s="94">
        <v>0.27750027750027745</v>
      </c>
      <c r="T5" s="93">
        <v>0.25</v>
      </c>
      <c r="U5" s="94">
        <v>0.54390054390054388</v>
      </c>
      <c r="V5" s="93">
        <v>0.49</v>
      </c>
      <c r="W5" s="94">
        <v>0.54390054390054388</v>
      </c>
      <c r="X5" s="93">
        <v>0.49</v>
      </c>
      <c r="Y5" s="94">
        <v>0.13320013320013319</v>
      </c>
      <c r="Z5" s="93">
        <v>0.12</v>
      </c>
      <c r="AA5" s="99">
        <v>11.715481171548117</v>
      </c>
      <c r="AB5" s="93">
        <v>16</v>
      </c>
      <c r="AC5" s="93">
        <v>7</v>
      </c>
      <c r="AD5" s="93">
        <v>7</v>
      </c>
      <c r="AE5" s="93">
        <v>0.8</v>
      </c>
      <c r="AF5" s="93">
        <v>0.35</v>
      </c>
      <c r="AG5" s="93">
        <v>0.18</v>
      </c>
      <c r="AH5" s="94">
        <v>0.83250083250083251</v>
      </c>
      <c r="AI5" s="93">
        <v>0.75</v>
      </c>
      <c r="AJ5" s="94">
        <v>0.38850038850038848</v>
      </c>
      <c r="AK5" s="94">
        <v>0.35</v>
      </c>
      <c r="AL5" s="94">
        <v>0.65490065490065485</v>
      </c>
      <c r="AM5" s="94">
        <v>0.59</v>
      </c>
      <c r="AN5" s="94">
        <v>0.76590076590076583</v>
      </c>
      <c r="AO5" s="94">
        <v>0.69</v>
      </c>
      <c r="AP5" s="94">
        <v>0.3552003552003552</v>
      </c>
      <c r="AQ5" s="94">
        <v>0.32</v>
      </c>
      <c r="AR5" s="86"/>
    </row>
    <row r="6" spans="1:44" x14ac:dyDescent="0.25">
      <c r="A6" s="96" t="str">
        <f>Requirment[[#This Row],[Production]]&amp;"_"&amp;Requirment[[#This Row],[Scenarios ]]&amp;"_"&amp;Requirment[[#This Row],[Nb phasis]]&amp;"_"&amp;Requirment[[#This Row],[Formula_Name]]</f>
        <v>Broiler_2.6 kg alive at 112 days_2 feeds_3_Growing</v>
      </c>
      <c r="B6" s="96" t="str">
        <f>Requirment[[#This Row],[Production]]&amp;"_"&amp;Requirment[[#This Row],[Scenarios ]]&amp;"_"&amp;Requirment[[#This Row],[Nb phasis]]</f>
        <v>Broiler_2.6 kg alive at 112 days_2 feeds_3</v>
      </c>
      <c r="C6" s="96" t="s">
        <v>234</v>
      </c>
      <c r="D6" s="96" t="s">
        <v>354</v>
      </c>
      <c r="E6" s="97">
        <v>3</v>
      </c>
      <c r="F6" s="98" t="s">
        <v>239</v>
      </c>
      <c r="G6" s="97" t="s">
        <v>245</v>
      </c>
      <c r="H6" s="96" t="s">
        <v>244</v>
      </c>
      <c r="I6" s="97" t="s">
        <v>238</v>
      </c>
      <c r="J6" s="99">
        <v>11.715481171548117</v>
      </c>
      <c r="K6" s="93">
        <v>17</v>
      </c>
      <c r="L6" s="93">
        <v>2</v>
      </c>
      <c r="M6" s="93">
        <v>0</v>
      </c>
      <c r="N6" s="93">
        <v>0.9</v>
      </c>
      <c r="O6" s="93">
        <v>0.4</v>
      </c>
      <c r="P6" s="93">
        <v>0.15</v>
      </c>
      <c r="Q6" s="94">
        <v>0.82222222222222219</v>
      </c>
      <c r="R6" s="93">
        <v>0.74</v>
      </c>
      <c r="S6" s="94">
        <v>0.33333333333333331</v>
      </c>
      <c r="T6" s="93">
        <v>0.3</v>
      </c>
      <c r="U6" s="94">
        <v>0.62222222222222223</v>
      </c>
      <c r="V6" s="93">
        <v>0.56000000000000005</v>
      </c>
      <c r="W6" s="94">
        <v>0.55555555555555547</v>
      </c>
      <c r="X6" s="93">
        <v>0.5</v>
      </c>
      <c r="Y6" s="94">
        <v>0.17777777777777778</v>
      </c>
      <c r="Z6" s="93">
        <v>0.16</v>
      </c>
      <c r="AA6" s="99">
        <v>12.133891213389122</v>
      </c>
      <c r="AB6" s="93">
        <v>19</v>
      </c>
      <c r="AC6" s="93">
        <v>7</v>
      </c>
      <c r="AD6" s="93">
        <v>7</v>
      </c>
      <c r="AE6" s="93">
        <v>1</v>
      </c>
      <c r="AF6" s="93">
        <v>0.45</v>
      </c>
      <c r="AG6" s="93">
        <v>0.18</v>
      </c>
      <c r="AH6" s="94">
        <v>0.93333333333333335</v>
      </c>
      <c r="AI6" s="93">
        <v>0.84</v>
      </c>
      <c r="AJ6" s="94">
        <v>0.44444444444444448</v>
      </c>
      <c r="AK6" s="94">
        <v>0.4</v>
      </c>
      <c r="AL6" s="94">
        <v>0.73333333333333339</v>
      </c>
      <c r="AM6" s="94">
        <v>0.66</v>
      </c>
      <c r="AN6" s="94">
        <v>0.77777777777777768</v>
      </c>
      <c r="AO6" s="94">
        <v>0.7</v>
      </c>
      <c r="AP6" s="94">
        <v>0.39999999999999997</v>
      </c>
      <c r="AQ6" s="94">
        <v>0.36</v>
      </c>
      <c r="AR6" s="86"/>
    </row>
    <row r="7" spans="1:44" x14ac:dyDescent="0.25">
      <c r="A7" s="96" t="str">
        <f>Requirment[[#This Row],[Production]]&amp;"_"&amp;Requirment[[#This Row],[Scenarios ]]&amp;"_"&amp;Requirment[[#This Row],[Nb phasis]]&amp;"_"&amp;Requirment[[#This Row],[Formula_Name]]</f>
        <v>Broiler_2.6 kg alive at 112 days_2 feeds_3_Starter</v>
      </c>
      <c r="B7" s="96" t="str">
        <f>Requirment[[#This Row],[Production]]&amp;"_"&amp;Requirment[[#This Row],[Scenarios ]]&amp;"_"&amp;Requirment[[#This Row],[Nb phasis]]</f>
        <v>Broiler_2.6 kg alive at 112 days_2 feeds_3</v>
      </c>
      <c r="C7" s="96" t="s">
        <v>234</v>
      </c>
      <c r="D7" s="96" t="s">
        <v>354</v>
      </c>
      <c r="E7" s="97">
        <v>3</v>
      </c>
      <c r="F7" s="98" t="s">
        <v>3</v>
      </c>
      <c r="G7" s="97" t="s">
        <v>246</v>
      </c>
      <c r="H7" s="96" t="s">
        <v>244</v>
      </c>
      <c r="I7" s="97" t="s">
        <v>241</v>
      </c>
      <c r="J7" s="99">
        <v>11.506276150627615</v>
      </c>
      <c r="K7" s="93">
        <v>19</v>
      </c>
      <c r="L7" s="93">
        <v>2.2000000000000002</v>
      </c>
      <c r="M7" s="93">
        <v>0</v>
      </c>
      <c r="N7" s="93">
        <v>1.05</v>
      </c>
      <c r="O7" s="93">
        <v>0.4</v>
      </c>
      <c r="P7" s="93">
        <v>0.15</v>
      </c>
      <c r="Q7" s="94">
        <v>0.99590572092508567</v>
      </c>
      <c r="R7" s="93">
        <v>0.9</v>
      </c>
      <c r="S7" s="94">
        <v>0.38729666924864437</v>
      </c>
      <c r="T7" s="93">
        <v>0.35</v>
      </c>
      <c r="U7" s="94">
        <v>0.7524621002545091</v>
      </c>
      <c r="V7" s="93">
        <v>0.68</v>
      </c>
      <c r="W7" s="94">
        <v>0.66393714728339037</v>
      </c>
      <c r="X7" s="93">
        <v>0.6</v>
      </c>
      <c r="Y7" s="94">
        <v>0.16598428682084759</v>
      </c>
      <c r="Z7" s="93">
        <v>0.15</v>
      </c>
      <c r="AA7" s="99">
        <v>12.133891213389122</v>
      </c>
      <c r="AB7" s="93">
        <v>21</v>
      </c>
      <c r="AC7" s="93">
        <v>5.5</v>
      </c>
      <c r="AD7" s="93">
        <v>5</v>
      </c>
      <c r="AE7" s="93">
        <v>1.1499999999999999</v>
      </c>
      <c r="AF7" s="93">
        <v>0.45</v>
      </c>
      <c r="AG7" s="93">
        <v>0.18</v>
      </c>
      <c r="AH7" s="94">
        <v>1.106561912138984</v>
      </c>
      <c r="AI7" s="93">
        <v>1</v>
      </c>
      <c r="AJ7" s="94">
        <v>0.49795286046254283</v>
      </c>
      <c r="AK7" s="94">
        <v>0.45</v>
      </c>
      <c r="AL7" s="94">
        <v>0.86311829146840757</v>
      </c>
      <c r="AM7" s="94">
        <v>0.78</v>
      </c>
      <c r="AN7" s="94">
        <v>0.88524952971118731</v>
      </c>
      <c r="AO7" s="94">
        <v>0.8</v>
      </c>
      <c r="AP7" s="94">
        <v>0.38729666924864437</v>
      </c>
      <c r="AQ7" s="94">
        <v>0.35</v>
      </c>
      <c r="AR7" s="86"/>
    </row>
    <row r="8" spans="1:44" x14ac:dyDescent="0.25">
      <c r="A8" s="96" t="str">
        <f>Requirment[[#This Row],[Production]]&amp;"_"&amp;Requirment[[#This Row],[Scenarios ]]&amp;"_"&amp;Requirment[[#This Row],[Nb phasis]]&amp;"_"&amp;Requirment[[#This Row],[Formula_Name]]</f>
        <v>Broiler_2.6 kg alive at 126 days_3 feeds_3_Finishing</v>
      </c>
      <c r="B8" s="96" t="str">
        <f>Requirment[[#This Row],[Production]]&amp;"_"&amp;Requirment[[#This Row],[Scenarios ]]&amp;"_"&amp;Requirment[[#This Row],[Nb phasis]]</f>
        <v>Broiler_2.6 kg alive at 126 days_3 feeds_3</v>
      </c>
      <c r="C8" s="96" t="s">
        <v>234</v>
      </c>
      <c r="D8" s="96" t="s">
        <v>355</v>
      </c>
      <c r="E8" s="97">
        <v>3</v>
      </c>
      <c r="F8" s="98" t="s">
        <v>235</v>
      </c>
      <c r="G8" s="97" t="s">
        <v>247</v>
      </c>
      <c r="H8" s="96" t="s">
        <v>244</v>
      </c>
      <c r="I8" s="97" t="s">
        <v>238</v>
      </c>
      <c r="J8" s="99">
        <v>10.878661087866108</v>
      </c>
      <c r="K8" s="93">
        <v>14</v>
      </c>
      <c r="L8" s="93">
        <v>2</v>
      </c>
      <c r="M8" s="93">
        <v>0</v>
      </c>
      <c r="N8" s="93">
        <v>0.7</v>
      </c>
      <c r="O8" s="93">
        <v>0.3</v>
      </c>
      <c r="P8" s="93">
        <v>0.15</v>
      </c>
      <c r="Q8" s="94">
        <v>0.68820068820068814</v>
      </c>
      <c r="R8" s="93">
        <v>0.62</v>
      </c>
      <c r="S8" s="94">
        <v>0.2553002553002553</v>
      </c>
      <c r="T8" s="93">
        <v>0.23</v>
      </c>
      <c r="U8" s="94">
        <v>0.52170052170052161</v>
      </c>
      <c r="V8" s="93">
        <v>0.47</v>
      </c>
      <c r="W8" s="94">
        <v>0.48840048840048839</v>
      </c>
      <c r="X8" s="93">
        <v>0.44</v>
      </c>
      <c r="Y8" s="94">
        <v>0.1221001221001221</v>
      </c>
      <c r="Z8" s="93">
        <v>0.11</v>
      </c>
      <c r="AA8" s="99">
        <v>11.715481171548117</v>
      </c>
      <c r="AB8" s="93">
        <v>16</v>
      </c>
      <c r="AC8" s="93">
        <v>7</v>
      </c>
      <c r="AD8" s="93">
        <v>7</v>
      </c>
      <c r="AE8" s="93">
        <v>0.8</v>
      </c>
      <c r="AF8" s="93">
        <v>0.35</v>
      </c>
      <c r="AG8" s="93">
        <v>0.18</v>
      </c>
      <c r="AH8" s="94">
        <v>0.79920079920079912</v>
      </c>
      <c r="AI8" s="93">
        <v>0.72</v>
      </c>
      <c r="AJ8" s="94">
        <v>0.36630036630036628</v>
      </c>
      <c r="AK8" s="94">
        <v>0.33</v>
      </c>
      <c r="AL8" s="94">
        <v>0.63270063270063259</v>
      </c>
      <c r="AM8" s="94">
        <v>0.56999999999999995</v>
      </c>
      <c r="AN8" s="94">
        <v>0.7104007104007104</v>
      </c>
      <c r="AO8" s="94">
        <v>0.64</v>
      </c>
      <c r="AP8" s="94">
        <v>0.34410034410034407</v>
      </c>
      <c r="AQ8" s="94">
        <v>0.31</v>
      </c>
      <c r="AR8" s="86"/>
    </row>
    <row r="9" spans="1:44" x14ac:dyDescent="0.25">
      <c r="A9" s="96" t="str">
        <f>Requirment[[#This Row],[Production]]&amp;"_"&amp;Requirment[[#This Row],[Scenarios ]]&amp;"_"&amp;Requirment[[#This Row],[Nb phasis]]&amp;"_"&amp;Requirment[[#This Row],[Formula_Name]]</f>
        <v>Broiler_2.6 kg alive at 126 days_3 feeds_3_Growing</v>
      </c>
      <c r="B9" s="96" t="str">
        <f>Requirment[[#This Row],[Production]]&amp;"_"&amp;Requirment[[#This Row],[Scenarios ]]&amp;"_"&amp;Requirment[[#This Row],[Nb phasis]]</f>
        <v>Broiler_2.6 kg alive at 126 days_3 feeds_3</v>
      </c>
      <c r="C9" s="96" t="s">
        <v>234</v>
      </c>
      <c r="D9" s="96" t="s">
        <v>355</v>
      </c>
      <c r="E9" s="97">
        <v>3</v>
      </c>
      <c r="F9" s="98" t="s">
        <v>239</v>
      </c>
      <c r="G9" s="97" t="s">
        <v>248</v>
      </c>
      <c r="H9" s="96" t="s">
        <v>244</v>
      </c>
      <c r="I9" s="97" t="s">
        <v>238</v>
      </c>
      <c r="J9" s="99">
        <v>11.715481171548117</v>
      </c>
      <c r="K9" s="93">
        <v>17</v>
      </c>
      <c r="L9" s="93">
        <v>2</v>
      </c>
      <c r="M9" s="93">
        <v>0</v>
      </c>
      <c r="N9" s="93">
        <v>0.9</v>
      </c>
      <c r="O9" s="93">
        <v>0.4</v>
      </c>
      <c r="P9" s="93">
        <v>0.15</v>
      </c>
      <c r="Q9" s="94">
        <v>0.82222222222222219</v>
      </c>
      <c r="R9" s="93">
        <v>0.74</v>
      </c>
      <c r="S9" s="94">
        <v>0.33333333333333331</v>
      </c>
      <c r="T9" s="93">
        <v>0.3</v>
      </c>
      <c r="U9" s="94">
        <v>0.62222222222222223</v>
      </c>
      <c r="V9" s="93">
        <v>0.56000000000000005</v>
      </c>
      <c r="W9" s="94">
        <v>0.55555555555555547</v>
      </c>
      <c r="X9" s="93">
        <v>0.5</v>
      </c>
      <c r="Y9" s="94">
        <v>0.17777777777777778</v>
      </c>
      <c r="Z9" s="93">
        <v>0.16</v>
      </c>
      <c r="AA9" s="99">
        <v>12.133891213389122</v>
      </c>
      <c r="AB9" s="93">
        <v>19</v>
      </c>
      <c r="AC9" s="93">
        <v>7</v>
      </c>
      <c r="AD9" s="93">
        <v>7</v>
      </c>
      <c r="AE9" s="93">
        <v>1</v>
      </c>
      <c r="AF9" s="93">
        <v>0.45</v>
      </c>
      <c r="AG9" s="93">
        <v>0.18</v>
      </c>
      <c r="AH9" s="94">
        <v>0.93333333333333335</v>
      </c>
      <c r="AI9" s="93">
        <v>0.84</v>
      </c>
      <c r="AJ9" s="94">
        <v>0.44444444444444448</v>
      </c>
      <c r="AK9" s="94">
        <v>0.4</v>
      </c>
      <c r="AL9" s="94">
        <v>0.73333333333333339</v>
      </c>
      <c r="AM9" s="94">
        <v>0.66</v>
      </c>
      <c r="AN9" s="94">
        <v>0.77777777777777768</v>
      </c>
      <c r="AO9" s="94">
        <v>0.7</v>
      </c>
      <c r="AP9" s="94">
        <v>0.39999999999999997</v>
      </c>
      <c r="AQ9" s="94">
        <v>0.36</v>
      </c>
      <c r="AR9" s="86"/>
    </row>
    <row r="10" spans="1:44" x14ac:dyDescent="0.25">
      <c r="A10" s="96" t="str">
        <f>Requirment[[#This Row],[Production]]&amp;"_"&amp;Requirment[[#This Row],[Scenarios ]]&amp;"_"&amp;Requirment[[#This Row],[Nb phasis]]&amp;"_"&amp;Requirment[[#This Row],[Formula_Name]]</f>
        <v>Broiler_2.6 kg alive at 126 days_3 feeds_3_Starter</v>
      </c>
      <c r="B10" s="96" t="str">
        <f>Requirment[[#This Row],[Production]]&amp;"_"&amp;Requirment[[#This Row],[Scenarios ]]&amp;"_"&amp;Requirment[[#This Row],[Nb phasis]]</f>
        <v>Broiler_2.6 kg alive at 126 days_3 feeds_3</v>
      </c>
      <c r="C10" s="96" t="s">
        <v>234</v>
      </c>
      <c r="D10" s="96" t="s">
        <v>355</v>
      </c>
      <c r="E10" s="97">
        <v>3</v>
      </c>
      <c r="F10" s="98" t="s">
        <v>3</v>
      </c>
      <c r="G10" s="97" t="s">
        <v>249</v>
      </c>
      <c r="H10" s="96" t="s">
        <v>244</v>
      </c>
      <c r="I10" s="97" t="s">
        <v>241</v>
      </c>
      <c r="J10" s="99">
        <v>11.506276150627615</v>
      </c>
      <c r="K10" s="93">
        <v>19</v>
      </c>
      <c r="L10" s="93">
        <v>2.2000000000000002</v>
      </c>
      <c r="M10" s="93">
        <v>0</v>
      </c>
      <c r="N10" s="93">
        <v>1.05</v>
      </c>
      <c r="O10" s="93">
        <v>0.4</v>
      </c>
      <c r="P10" s="93">
        <v>0.15</v>
      </c>
      <c r="Q10" s="94">
        <v>0.99590572092508567</v>
      </c>
      <c r="R10" s="93">
        <v>0.9</v>
      </c>
      <c r="S10" s="94">
        <v>0.38729666924864437</v>
      </c>
      <c r="T10" s="93">
        <v>0.35</v>
      </c>
      <c r="U10" s="94">
        <v>0.7524621002545091</v>
      </c>
      <c r="V10" s="93">
        <v>0.68</v>
      </c>
      <c r="W10" s="94">
        <v>0.66393714728339037</v>
      </c>
      <c r="X10" s="93">
        <v>0.6</v>
      </c>
      <c r="Y10" s="94">
        <v>0.16598428682084759</v>
      </c>
      <c r="Z10" s="93">
        <v>0.15</v>
      </c>
      <c r="AA10" s="99">
        <v>12.133891213389122</v>
      </c>
      <c r="AB10" s="93">
        <v>21</v>
      </c>
      <c r="AC10" s="93">
        <v>5.5</v>
      </c>
      <c r="AD10" s="93">
        <v>5</v>
      </c>
      <c r="AE10" s="93">
        <v>1.1499999999999999</v>
      </c>
      <c r="AF10" s="93">
        <v>0.45</v>
      </c>
      <c r="AG10" s="93">
        <v>0.18</v>
      </c>
      <c r="AH10" s="94">
        <v>1.106561912138984</v>
      </c>
      <c r="AI10" s="93">
        <v>1</v>
      </c>
      <c r="AJ10" s="94">
        <v>0.49795286046254283</v>
      </c>
      <c r="AK10" s="94">
        <v>0.45</v>
      </c>
      <c r="AL10" s="94">
        <v>0.86311829146840757</v>
      </c>
      <c r="AM10" s="94">
        <v>0.78</v>
      </c>
      <c r="AN10" s="94">
        <v>0.88524952971118731</v>
      </c>
      <c r="AO10" s="94">
        <v>0.8</v>
      </c>
      <c r="AP10" s="94">
        <v>0.38729666924864437</v>
      </c>
      <c r="AQ10" s="94">
        <v>0.35</v>
      </c>
      <c r="AR10" s="86"/>
    </row>
    <row r="11" spans="1:44" x14ac:dyDescent="0.25">
      <c r="A11" s="96" t="str">
        <f>Requirment[[#This Row],[Production]]&amp;"_"&amp;Requirment[[#This Row],[Scenarios ]]&amp;"_"&amp;Requirment[[#This Row],[Nb phasis]]&amp;"_"&amp;Requirment[[#This Row],[Formula_Name]]</f>
        <v>Broiler_2.6 kg alive at 126 days_4 feeds_4_Finishing 1</v>
      </c>
      <c r="B11" s="96" t="str">
        <f>Requirment[[#This Row],[Production]]&amp;"_"&amp;Requirment[[#This Row],[Scenarios ]]&amp;"_"&amp;Requirment[[#This Row],[Nb phasis]]</f>
        <v>Broiler_2.6 kg alive at 126 days_4 feeds_4</v>
      </c>
      <c r="C11" s="96" t="s">
        <v>234</v>
      </c>
      <c r="D11" s="96" t="s">
        <v>356</v>
      </c>
      <c r="E11" s="97">
        <v>4</v>
      </c>
      <c r="F11" s="98" t="s">
        <v>250</v>
      </c>
      <c r="G11" s="97" t="s">
        <v>251</v>
      </c>
      <c r="H11" s="96" t="s">
        <v>244</v>
      </c>
      <c r="I11" s="97" t="s">
        <v>238</v>
      </c>
      <c r="J11" s="99">
        <v>11.297071129707113</v>
      </c>
      <c r="K11" s="93">
        <v>14</v>
      </c>
      <c r="L11" s="93">
        <v>2</v>
      </c>
      <c r="M11" s="93">
        <v>0</v>
      </c>
      <c r="N11" s="93">
        <v>0.7</v>
      </c>
      <c r="O11" s="93">
        <v>0.3</v>
      </c>
      <c r="P11" s="93">
        <v>0.15</v>
      </c>
      <c r="Q11" s="94">
        <v>0.72150072150072142</v>
      </c>
      <c r="R11" s="93">
        <v>0.65</v>
      </c>
      <c r="S11" s="94">
        <v>0.27750027750027745</v>
      </c>
      <c r="T11" s="93">
        <v>0.25</v>
      </c>
      <c r="U11" s="94">
        <v>0.54390054390054388</v>
      </c>
      <c r="V11" s="93">
        <v>0.49</v>
      </c>
      <c r="W11" s="94">
        <v>0.54390054390054388</v>
      </c>
      <c r="X11" s="93">
        <v>0.49</v>
      </c>
      <c r="Y11" s="94">
        <v>0.13320013320013319</v>
      </c>
      <c r="Z11" s="93">
        <v>0.12</v>
      </c>
      <c r="AA11" s="99">
        <v>11.715481171548117</v>
      </c>
      <c r="AB11" s="93">
        <v>16</v>
      </c>
      <c r="AC11" s="93">
        <v>7</v>
      </c>
      <c r="AD11" s="93">
        <v>7</v>
      </c>
      <c r="AE11" s="93">
        <v>0.8</v>
      </c>
      <c r="AF11" s="93">
        <v>0.35</v>
      </c>
      <c r="AG11" s="93">
        <v>0.18</v>
      </c>
      <c r="AH11" s="94">
        <v>0.83250083250083251</v>
      </c>
      <c r="AI11" s="93">
        <v>0.75</v>
      </c>
      <c r="AJ11" s="94">
        <v>0.38850038850038848</v>
      </c>
      <c r="AK11" s="94">
        <v>0.35</v>
      </c>
      <c r="AL11" s="94">
        <v>0.65490065490065485</v>
      </c>
      <c r="AM11" s="94">
        <v>0.59</v>
      </c>
      <c r="AN11" s="94">
        <v>0.76590076590076583</v>
      </c>
      <c r="AO11" s="94">
        <v>0.69</v>
      </c>
      <c r="AP11" s="94">
        <v>0.3552003552003552</v>
      </c>
      <c r="AQ11" s="94">
        <v>0.32</v>
      </c>
      <c r="AR11" s="86"/>
    </row>
    <row r="12" spans="1:44" x14ac:dyDescent="0.25">
      <c r="A12" s="96" t="str">
        <f>Requirment[[#This Row],[Production]]&amp;"_"&amp;Requirment[[#This Row],[Scenarios ]]&amp;"_"&amp;Requirment[[#This Row],[Nb phasis]]&amp;"_"&amp;Requirment[[#This Row],[Formula_Name]]</f>
        <v>Broiler_2.6 kg alive at 126 days_4 feeds_4_Finishing 2</v>
      </c>
      <c r="B12" s="96" t="str">
        <f>Requirment[[#This Row],[Production]]&amp;"_"&amp;Requirment[[#This Row],[Scenarios ]]&amp;"_"&amp;Requirment[[#This Row],[Nb phasis]]</f>
        <v>Broiler_2.6 kg alive at 126 days_4 feeds_4</v>
      </c>
      <c r="C12" s="96" t="s">
        <v>234</v>
      </c>
      <c r="D12" s="96" t="s">
        <v>356</v>
      </c>
      <c r="E12" s="97">
        <v>4</v>
      </c>
      <c r="F12" s="98" t="s">
        <v>252</v>
      </c>
      <c r="G12" s="97" t="s">
        <v>253</v>
      </c>
      <c r="H12" s="96" t="s">
        <v>244</v>
      </c>
      <c r="I12" s="97" t="s">
        <v>238</v>
      </c>
      <c r="J12" s="99">
        <v>10.460251046025105</v>
      </c>
      <c r="K12" s="93">
        <v>14</v>
      </c>
      <c r="L12" s="93">
        <v>2</v>
      </c>
      <c r="M12" s="93">
        <v>0</v>
      </c>
      <c r="N12" s="93">
        <v>0.7</v>
      </c>
      <c r="O12" s="93">
        <v>0.3</v>
      </c>
      <c r="P12" s="93">
        <v>0.15</v>
      </c>
      <c r="Q12" s="94">
        <v>0.66600066600066599</v>
      </c>
      <c r="R12" s="93">
        <v>0.6</v>
      </c>
      <c r="S12" s="94">
        <v>0.24420024420024422</v>
      </c>
      <c r="T12" s="93">
        <v>0.22</v>
      </c>
      <c r="U12" s="94">
        <v>0.49950049950049946</v>
      </c>
      <c r="V12" s="93">
        <v>0.45</v>
      </c>
      <c r="W12" s="94">
        <v>0.4329004329004329</v>
      </c>
      <c r="X12" s="93">
        <v>0.39</v>
      </c>
      <c r="Y12" s="94">
        <v>0.11100011100011101</v>
      </c>
      <c r="Z12" s="93">
        <v>0.1</v>
      </c>
      <c r="AA12" s="99">
        <v>11.715481171548117</v>
      </c>
      <c r="AB12" s="93">
        <v>16</v>
      </c>
      <c r="AC12" s="93">
        <v>7</v>
      </c>
      <c r="AD12" s="93">
        <v>8</v>
      </c>
      <c r="AE12" s="93">
        <v>0.8</v>
      </c>
      <c r="AF12" s="93">
        <v>0.35</v>
      </c>
      <c r="AG12" s="93">
        <v>0.18</v>
      </c>
      <c r="AH12" s="94">
        <v>0.77700077700077697</v>
      </c>
      <c r="AI12" s="93">
        <v>0.7</v>
      </c>
      <c r="AJ12" s="94">
        <v>0.3552003552003552</v>
      </c>
      <c r="AK12" s="94">
        <v>0.32</v>
      </c>
      <c r="AL12" s="94">
        <v>0.61050061050061055</v>
      </c>
      <c r="AM12" s="94">
        <v>0.55000000000000004</v>
      </c>
      <c r="AN12" s="94">
        <v>0.65490065490065485</v>
      </c>
      <c r="AO12" s="94">
        <v>0.59</v>
      </c>
      <c r="AP12" s="94">
        <v>0.22200022200022201</v>
      </c>
      <c r="AQ12" s="94">
        <v>0.2</v>
      </c>
      <c r="AR12" s="86"/>
    </row>
    <row r="13" spans="1:44" x14ac:dyDescent="0.25">
      <c r="A13" s="96" t="str">
        <f>Requirment[[#This Row],[Production]]&amp;"_"&amp;Requirment[[#This Row],[Scenarios ]]&amp;"_"&amp;Requirment[[#This Row],[Nb phasis]]&amp;"_"&amp;Requirment[[#This Row],[Formula_Name]]</f>
        <v>Broiler_2.6 kg alive at 126 days_4 feeds_4_Growing</v>
      </c>
      <c r="B13" s="96" t="str">
        <f>Requirment[[#This Row],[Production]]&amp;"_"&amp;Requirment[[#This Row],[Scenarios ]]&amp;"_"&amp;Requirment[[#This Row],[Nb phasis]]</f>
        <v>Broiler_2.6 kg alive at 126 days_4 feeds_4</v>
      </c>
      <c r="C13" s="96" t="s">
        <v>234</v>
      </c>
      <c r="D13" s="96" t="s">
        <v>356</v>
      </c>
      <c r="E13" s="97">
        <v>4</v>
      </c>
      <c r="F13" s="98" t="s">
        <v>239</v>
      </c>
      <c r="G13" s="97" t="s">
        <v>248</v>
      </c>
      <c r="H13" s="96" t="s">
        <v>244</v>
      </c>
      <c r="I13" s="97" t="s">
        <v>238</v>
      </c>
      <c r="J13" s="99">
        <v>11.715481171548117</v>
      </c>
      <c r="K13" s="93">
        <v>17</v>
      </c>
      <c r="L13" s="93">
        <v>2</v>
      </c>
      <c r="M13" s="93">
        <v>0</v>
      </c>
      <c r="N13" s="93">
        <v>0.9</v>
      </c>
      <c r="O13" s="93">
        <v>0.4</v>
      </c>
      <c r="P13" s="93">
        <v>0.15</v>
      </c>
      <c r="Q13" s="94">
        <v>0.82222222222222219</v>
      </c>
      <c r="R13" s="93">
        <v>0.74</v>
      </c>
      <c r="S13" s="94">
        <v>0.33333333333333331</v>
      </c>
      <c r="T13" s="93">
        <v>0.3</v>
      </c>
      <c r="U13" s="94">
        <v>0.62222222222222223</v>
      </c>
      <c r="V13" s="93">
        <v>0.56000000000000005</v>
      </c>
      <c r="W13" s="94">
        <v>0.55555555555555547</v>
      </c>
      <c r="X13" s="93">
        <v>0.5</v>
      </c>
      <c r="Y13" s="94">
        <v>0.17777777777777778</v>
      </c>
      <c r="Z13" s="93">
        <v>0.16</v>
      </c>
      <c r="AA13" s="99">
        <v>12.133891213389122</v>
      </c>
      <c r="AB13" s="93">
        <v>19</v>
      </c>
      <c r="AC13" s="93">
        <v>7</v>
      </c>
      <c r="AD13" s="93">
        <v>7</v>
      </c>
      <c r="AE13" s="93">
        <v>1</v>
      </c>
      <c r="AF13" s="93">
        <v>0.45</v>
      </c>
      <c r="AG13" s="93">
        <v>0.18</v>
      </c>
      <c r="AH13" s="94">
        <v>0.93333333333333335</v>
      </c>
      <c r="AI13" s="93">
        <v>0.84</v>
      </c>
      <c r="AJ13" s="94">
        <v>0.44444444444444448</v>
      </c>
      <c r="AK13" s="94">
        <v>0.4</v>
      </c>
      <c r="AL13" s="94">
        <v>0.73333333333333339</v>
      </c>
      <c r="AM13" s="94">
        <v>0.66</v>
      </c>
      <c r="AN13" s="94">
        <v>0.77777777777777768</v>
      </c>
      <c r="AO13" s="94">
        <v>0.7</v>
      </c>
      <c r="AP13" s="94">
        <v>0.39999999999999997</v>
      </c>
      <c r="AQ13" s="94">
        <v>0.36</v>
      </c>
      <c r="AR13" s="86"/>
    </row>
    <row r="14" spans="1:44" x14ac:dyDescent="0.25">
      <c r="A14" s="96" t="str">
        <f>Requirment[[#This Row],[Production]]&amp;"_"&amp;Requirment[[#This Row],[Scenarios ]]&amp;"_"&amp;Requirment[[#This Row],[Nb phasis]]&amp;"_"&amp;Requirment[[#This Row],[Formula_Name]]</f>
        <v>Broiler_2.6 kg alive at 126 days_4 feeds_4_Starter</v>
      </c>
      <c r="B14" s="96" t="str">
        <f>Requirment[[#This Row],[Production]]&amp;"_"&amp;Requirment[[#This Row],[Scenarios ]]&amp;"_"&amp;Requirment[[#This Row],[Nb phasis]]</f>
        <v>Broiler_2.6 kg alive at 126 days_4 feeds_4</v>
      </c>
      <c r="C14" s="96" t="s">
        <v>234</v>
      </c>
      <c r="D14" s="96" t="s">
        <v>356</v>
      </c>
      <c r="E14" s="97">
        <v>4</v>
      </c>
      <c r="F14" s="98" t="s">
        <v>3</v>
      </c>
      <c r="G14" s="97" t="s">
        <v>249</v>
      </c>
      <c r="H14" s="96" t="s">
        <v>244</v>
      </c>
      <c r="I14" s="97" t="s">
        <v>241</v>
      </c>
      <c r="J14" s="99">
        <v>11.506276150627615</v>
      </c>
      <c r="K14" s="93">
        <v>19</v>
      </c>
      <c r="L14" s="93">
        <v>2.2000000000000002</v>
      </c>
      <c r="M14" s="93">
        <v>0</v>
      </c>
      <c r="N14" s="93">
        <v>1.05</v>
      </c>
      <c r="O14" s="93">
        <v>0.4</v>
      </c>
      <c r="P14" s="93">
        <v>0.15</v>
      </c>
      <c r="Q14" s="94">
        <v>0.99590572092508567</v>
      </c>
      <c r="R14" s="93">
        <v>0.9</v>
      </c>
      <c r="S14" s="94">
        <v>0.38729666924864437</v>
      </c>
      <c r="T14" s="93">
        <v>0.35</v>
      </c>
      <c r="U14" s="94">
        <v>0.7524621002545091</v>
      </c>
      <c r="V14" s="93">
        <v>0.68</v>
      </c>
      <c r="W14" s="94">
        <v>0.66393714728339037</v>
      </c>
      <c r="X14" s="93">
        <v>0.6</v>
      </c>
      <c r="Y14" s="94">
        <v>0.16598428682084759</v>
      </c>
      <c r="Z14" s="93">
        <v>0.15</v>
      </c>
      <c r="AA14" s="99">
        <v>12.133891213389122</v>
      </c>
      <c r="AB14" s="93">
        <v>21</v>
      </c>
      <c r="AC14" s="93">
        <v>5.5</v>
      </c>
      <c r="AD14" s="93">
        <v>5</v>
      </c>
      <c r="AE14" s="93">
        <v>1.1499999999999999</v>
      </c>
      <c r="AF14" s="93">
        <v>0.45</v>
      </c>
      <c r="AG14" s="93">
        <v>0.18</v>
      </c>
      <c r="AH14" s="94">
        <v>1.106561912138984</v>
      </c>
      <c r="AI14" s="93">
        <v>1</v>
      </c>
      <c r="AJ14" s="94">
        <v>0.49795286046254283</v>
      </c>
      <c r="AK14" s="94">
        <v>0.45</v>
      </c>
      <c r="AL14" s="94">
        <v>0.86311829146840757</v>
      </c>
      <c r="AM14" s="94">
        <v>0.78</v>
      </c>
      <c r="AN14" s="94">
        <v>0.88524952971118731</v>
      </c>
      <c r="AO14" s="94">
        <v>0.8</v>
      </c>
      <c r="AP14" s="94">
        <v>0.38729666924864437</v>
      </c>
      <c r="AQ14" s="94">
        <v>0.35</v>
      </c>
      <c r="AR14" s="86"/>
    </row>
    <row r="15" spans="1:44" x14ac:dyDescent="0.25">
      <c r="A15" s="96" t="str">
        <f>Requirment[[#This Row],[Production]]&amp;"_"&amp;Requirment[[#This Row],[Scenarios ]]&amp;"_"&amp;Requirment[[#This Row],[Nb phasis]]&amp;"_"&amp;Requirment[[#This Row],[Formula_Name]]</f>
        <v>Broiler_2.6 kg alive at 98 days_2 feeds_2_Single feed</v>
      </c>
      <c r="B15" s="96" t="str">
        <f>Requirment[[#This Row],[Production]]&amp;"_"&amp;Requirment[[#This Row],[Scenarios ]]&amp;"_"&amp;Requirment[[#This Row],[Nb phasis]]</f>
        <v>Broiler_2.6 kg alive at 98 days_2 feeds_2</v>
      </c>
      <c r="C15" s="96" t="s">
        <v>234</v>
      </c>
      <c r="D15" s="96" t="s">
        <v>357</v>
      </c>
      <c r="E15" s="97">
        <v>2</v>
      </c>
      <c r="F15" s="98" t="s">
        <v>254</v>
      </c>
      <c r="G15" s="97" t="s">
        <v>255</v>
      </c>
      <c r="H15" s="96" t="s">
        <v>244</v>
      </c>
      <c r="I15" s="97" t="s">
        <v>238</v>
      </c>
      <c r="J15" s="99">
        <v>11.715481171548117</v>
      </c>
      <c r="K15" s="93">
        <v>17</v>
      </c>
      <c r="L15" s="93">
        <v>2</v>
      </c>
      <c r="M15" s="93">
        <v>0</v>
      </c>
      <c r="N15" s="93">
        <v>0.9</v>
      </c>
      <c r="O15" s="93">
        <v>0.4</v>
      </c>
      <c r="P15" s="93">
        <v>0.15</v>
      </c>
      <c r="Q15" s="94">
        <v>0.82222222222222219</v>
      </c>
      <c r="R15" s="93">
        <v>0.74</v>
      </c>
      <c r="S15" s="94">
        <v>0.33333333333333331</v>
      </c>
      <c r="T15" s="93">
        <v>0.3</v>
      </c>
      <c r="U15" s="94">
        <v>0.62222222222222223</v>
      </c>
      <c r="V15" s="93">
        <v>0.56000000000000005</v>
      </c>
      <c r="W15" s="94">
        <v>0.55555555555555547</v>
      </c>
      <c r="X15" s="93">
        <v>0.5</v>
      </c>
      <c r="Y15" s="94">
        <v>0.17777777777777778</v>
      </c>
      <c r="Z15" s="93">
        <v>0.16</v>
      </c>
      <c r="AA15" s="99">
        <v>12.133891213389122</v>
      </c>
      <c r="AB15" s="93">
        <v>19</v>
      </c>
      <c r="AC15" s="93">
        <v>7</v>
      </c>
      <c r="AD15" s="93">
        <v>7</v>
      </c>
      <c r="AE15" s="93">
        <v>1</v>
      </c>
      <c r="AF15" s="93">
        <v>0.45</v>
      </c>
      <c r="AG15" s="93">
        <v>0.18</v>
      </c>
      <c r="AH15" s="94">
        <v>1.106561912138984</v>
      </c>
      <c r="AI15" s="93">
        <v>0.84</v>
      </c>
      <c r="AJ15" s="94">
        <v>0.52693424387570675</v>
      </c>
      <c r="AK15" s="94">
        <v>0.4</v>
      </c>
      <c r="AL15" s="94">
        <v>0.86944150239491613</v>
      </c>
      <c r="AM15" s="94">
        <v>0.66</v>
      </c>
      <c r="AN15" s="94">
        <v>0.92213492678248665</v>
      </c>
      <c r="AO15" s="94">
        <v>0.7</v>
      </c>
      <c r="AP15" s="94">
        <v>0.47424081948813601</v>
      </c>
      <c r="AQ15" s="94">
        <v>0.36</v>
      </c>
      <c r="AR15" s="86"/>
    </row>
    <row r="16" spans="1:44" x14ac:dyDescent="0.25">
      <c r="A16" s="96" t="str">
        <f>Requirment[[#This Row],[Production]]&amp;"_"&amp;Requirment[[#This Row],[Scenarios ]]&amp;"_"&amp;Requirment[[#This Row],[Nb phasis]]&amp;"_"&amp;Requirment[[#This Row],[Formula_Name]]</f>
        <v>Broiler_2.6 kg alive at 98 days_2 feeds_2_Starter</v>
      </c>
      <c r="B16" s="96" t="str">
        <f>Requirment[[#This Row],[Production]]&amp;"_"&amp;Requirment[[#This Row],[Scenarios ]]&amp;"_"&amp;Requirment[[#This Row],[Nb phasis]]</f>
        <v>Broiler_2.6 kg alive at 98 days_2 feeds_2</v>
      </c>
      <c r="C16" s="96" t="s">
        <v>234</v>
      </c>
      <c r="D16" s="96" t="s">
        <v>357</v>
      </c>
      <c r="E16" s="97">
        <v>2</v>
      </c>
      <c r="F16" s="98" t="s">
        <v>3</v>
      </c>
      <c r="G16" s="97" t="s">
        <v>246</v>
      </c>
      <c r="H16" s="96" t="s">
        <v>244</v>
      </c>
      <c r="I16" s="97" t="s">
        <v>241</v>
      </c>
      <c r="J16" s="99">
        <v>11.506276150627615</v>
      </c>
      <c r="K16" s="93">
        <v>19</v>
      </c>
      <c r="L16" s="93">
        <v>2.2000000000000002</v>
      </c>
      <c r="M16" s="93">
        <v>0</v>
      </c>
      <c r="N16" s="93">
        <v>1.05</v>
      </c>
      <c r="O16" s="93">
        <v>0.4</v>
      </c>
      <c r="P16" s="93">
        <v>0.15</v>
      </c>
      <c r="Q16" s="94">
        <v>0.99590572092508567</v>
      </c>
      <c r="R16" s="93">
        <v>0.9</v>
      </c>
      <c r="S16" s="94">
        <v>0.38729666924864437</v>
      </c>
      <c r="T16" s="93">
        <v>0.35</v>
      </c>
      <c r="U16" s="94">
        <v>0.7524621002545091</v>
      </c>
      <c r="V16" s="93">
        <v>0.68</v>
      </c>
      <c r="W16" s="94">
        <v>0.66393714728339037</v>
      </c>
      <c r="X16" s="93">
        <v>0.6</v>
      </c>
      <c r="Y16" s="94">
        <v>0.16598428682084759</v>
      </c>
      <c r="Z16" s="93">
        <v>0.15</v>
      </c>
      <c r="AA16" s="99">
        <v>12.133891213389122</v>
      </c>
      <c r="AB16" s="93">
        <v>21</v>
      </c>
      <c r="AC16" s="93">
        <v>5.5</v>
      </c>
      <c r="AD16" s="93">
        <v>5</v>
      </c>
      <c r="AE16" s="93">
        <v>1.1499999999999999</v>
      </c>
      <c r="AF16" s="93">
        <v>0.45</v>
      </c>
      <c r="AG16" s="93">
        <v>0.18</v>
      </c>
      <c r="AH16" s="94">
        <v>1.106561912138984</v>
      </c>
      <c r="AI16" s="93">
        <v>1</v>
      </c>
      <c r="AJ16" s="94">
        <v>0.49795286046254283</v>
      </c>
      <c r="AK16" s="94">
        <v>0.45</v>
      </c>
      <c r="AL16" s="94">
        <v>0.86311829146840757</v>
      </c>
      <c r="AM16" s="94">
        <v>0.78</v>
      </c>
      <c r="AN16" s="94">
        <v>0.88524952971118731</v>
      </c>
      <c r="AO16" s="94">
        <v>0.8</v>
      </c>
      <c r="AP16" s="94">
        <v>0.38729666924864437</v>
      </c>
      <c r="AQ16" s="94">
        <v>0.35</v>
      </c>
      <c r="AR16" s="86"/>
    </row>
    <row r="17" spans="1:44" x14ac:dyDescent="0.25">
      <c r="A17" s="96" t="str">
        <f>Requirment[[#This Row],[Production]]&amp;"_"&amp;Requirment[[#This Row],[Scenarios ]]&amp;"_"&amp;Requirment[[#This Row],[Nb phasis]]&amp;"_"&amp;Requirment[[#This Row],[Formula_Name]]</f>
        <v>Broiler_2.6 kg alive at 98 days_3 feeds_3_Finishing</v>
      </c>
      <c r="B17" s="96" t="str">
        <f>Requirment[[#This Row],[Production]]&amp;"_"&amp;Requirment[[#This Row],[Scenarios ]]&amp;"_"&amp;Requirment[[#This Row],[Nb phasis]]</f>
        <v>Broiler_2.6 kg alive at 98 days_3 feeds_3</v>
      </c>
      <c r="C17" s="96" t="s">
        <v>234</v>
      </c>
      <c r="D17" s="96" t="s">
        <v>358</v>
      </c>
      <c r="E17" s="97">
        <v>3</v>
      </c>
      <c r="F17" s="98" t="s">
        <v>235</v>
      </c>
      <c r="G17" s="97" t="s">
        <v>256</v>
      </c>
      <c r="H17" s="96" t="s">
        <v>244</v>
      </c>
      <c r="I17" s="97" t="s">
        <v>238</v>
      </c>
      <c r="J17" s="99">
        <v>11.92468619246862</v>
      </c>
      <c r="K17" s="93">
        <v>15</v>
      </c>
      <c r="L17" s="93">
        <v>2</v>
      </c>
      <c r="M17" s="93">
        <v>0</v>
      </c>
      <c r="N17" s="93">
        <v>0.7</v>
      </c>
      <c r="O17" s="93">
        <v>0.3</v>
      </c>
      <c r="P17" s="93">
        <v>0.15</v>
      </c>
      <c r="Q17" s="94">
        <v>0.72150072150072142</v>
      </c>
      <c r="R17" s="93">
        <v>0.65</v>
      </c>
      <c r="S17" s="94">
        <v>0.31080031080031079</v>
      </c>
      <c r="T17" s="93">
        <v>0.28000000000000003</v>
      </c>
      <c r="U17" s="94">
        <v>0.57720057720057716</v>
      </c>
      <c r="V17" s="93">
        <v>0.52</v>
      </c>
      <c r="W17" s="94">
        <v>0.45510045510045505</v>
      </c>
      <c r="X17" s="93">
        <v>0.41</v>
      </c>
      <c r="Y17" s="94">
        <v>0.15540015540015539</v>
      </c>
      <c r="Z17" s="93">
        <v>0.14000000000000001</v>
      </c>
      <c r="AA17" s="99">
        <v>12.343096234309623</v>
      </c>
      <c r="AB17" s="93">
        <v>17</v>
      </c>
      <c r="AC17" s="93">
        <v>7</v>
      </c>
      <c r="AD17" s="93">
        <v>7</v>
      </c>
      <c r="AE17" s="93">
        <v>0.9</v>
      </c>
      <c r="AF17" s="93">
        <v>0.35</v>
      </c>
      <c r="AG17" s="93">
        <v>0.18</v>
      </c>
      <c r="AH17" s="94">
        <v>0.83250083250083251</v>
      </c>
      <c r="AI17" s="93">
        <v>0.75</v>
      </c>
      <c r="AJ17" s="94">
        <v>0.42180042180042182</v>
      </c>
      <c r="AK17" s="94">
        <v>0.38</v>
      </c>
      <c r="AL17" s="94">
        <v>0.68820068820068825</v>
      </c>
      <c r="AM17" s="94">
        <v>0.62</v>
      </c>
      <c r="AN17" s="94">
        <v>0.67710067710067712</v>
      </c>
      <c r="AO17" s="94">
        <v>0.61</v>
      </c>
      <c r="AP17" s="94">
        <v>0.37740037740037741</v>
      </c>
      <c r="AQ17" s="94">
        <v>0.34</v>
      </c>
      <c r="AR17" s="86"/>
    </row>
    <row r="18" spans="1:44" x14ac:dyDescent="0.25">
      <c r="A18" s="96" t="str">
        <f>Requirment[[#This Row],[Production]]&amp;"_"&amp;Requirment[[#This Row],[Scenarios ]]&amp;"_"&amp;Requirment[[#This Row],[Nb phasis]]&amp;"_"&amp;Requirment[[#This Row],[Formula_Name]]</f>
        <v>Broiler_2.6 kg alive at 98 days_3 feeds_3_Growing</v>
      </c>
      <c r="B18" s="96" t="str">
        <f>Requirment[[#This Row],[Production]]&amp;"_"&amp;Requirment[[#This Row],[Scenarios ]]&amp;"_"&amp;Requirment[[#This Row],[Nb phasis]]</f>
        <v>Broiler_2.6 kg alive at 98 days_3 feeds_3</v>
      </c>
      <c r="C18" s="96" t="s">
        <v>234</v>
      </c>
      <c r="D18" s="96" t="s">
        <v>358</v>
      </c>
      <c r="E18" s="97">
        <v>3</v>
      </c>
      <c r="F18" s="98" t="s">
        <v>239</v>
      </c>
      <c r="G18" s="97" t="s">
        <v>245</v>
      </c>
      <c r="H18" s="96" t="s">
        <v>244</v>
      </c>
      <c r="I18" s="97" t="s">
        <v>238</v>
      </c>
      <c r="J18" s="99">
        <v>11.715481171548117</v>
      </c>
      <c r="K18" s="93">
        <v>17</v>
      </c>
      <c r="L18" s="93">
        <v>2</v>
      </c>
      <c r="M18" s="93">
        <v>0</v>
      </c>
      <c r="N18" s="93">
        <v>0.9</v>
      </c>
      <c r="O18" s="93">
        <v>0.4</v>
      </c>
      <c r="P18" s="93">
        <v>0.15</v>
      </c>
      <c r="Q18" s="94">
        <v>0.91111111111111109</v>
      </c>
      <c r="R18" s="93">
        <v>0.82</v>
      </c>
      <c r="S18" s="94">
        <v>0.35555555555555557</v>
      </c>
      <c r="T18" s="93">
        <v>0.32</v>
      </c>
      <c r="U18" s="94">
        <v>0.66666666666666663</v>
      </c>
      <c r="V18" s="93">
        <v>0.6</v>
      </c>
      <c r="W18" s="94">
        <v>0.6</v>
      </c>
      <c r="X18" s="93">
        <v>0.54</v>
      </c>
      <c r="Y18" s="94">
        <v>0.19999999999999998</v>
      </c>
      <c r="Z18" s="93">
        <v>0.18</v>
      </c>
      <c r="AA18" s="99">
        <v>12.133891213389122</v>
      </c>
      <c r="AB18" s="93">
        <v>19</v>
      </c>
      <c r="AC18" s="93">
        <v>7</v>
      </c>
      <c r="AD18" s="93">
        <v>7</v>
      </c>
      <c r="AE18" s="93">
        <v>1</v>
      </c>
      <c r="AF18" s="93">
        <v>0.45</v>
      </c>
      <c r="AG18" s="93">
        <v>0.18</v>
      </c>
      <c r="AH18" s="94">
        <v>1.0222222222222221</v>
      </c>
      <c r="AI18" s="93">
        <v>0.92</v>
      </c>
      <c r="AJ18" s="94">
        <v>0.46666666666666662</v>
      </c>
      <c r="AK18" s="94">
        <v>0.42</v>
      </c>
      <c r="AL18" s="94">
        <v>0.77777777777777768</v>
      </c>
      <c r="AM18" s="94">
        <v>0.7</v>
      </c>
      <c r="AN18" s="94">
        <v>0.83333333333333326</v>
      </c>
      <c r="AO18" s="94">
        <v>0.75</v>
      </c>
      <c r="AP18" s="94">
        <v>0.42222222222222217</v>
      </c>
      <c r="AQ18" s="94">
        <v>0.38</v>
      </c>
      <c r="AR18" s="86"/>
    </row>
    <row r="19" spans="1:44" x14ac:dyDescent="0.25">
      <c r="A19" s="96" t="str">
        <f>Requirment[[#This Row],[Production]]&amp;"_"&amp;Requirment[[#This Row],[Scenarios ]]&amp;"_"&amp;Requirment[[#This Row],[Nb phasis]]&amp;"_"&amp;Requirment[[#This Row],[Formula_Name]]</f>
        <v>Broiler_2.6 kg alive at 98 days_3 feeds_3_Starter</v>
      </c>
      <c r="B19" s="96" t="str">
        <f>Requirment[[#This Row],[Production]]&amp;"_"&amp;Requirment[[#This Row],[Scenarios ]]&amp;"_"&amp;Requirment[[#This Row],[Nb phasis]]</f>
        <v>Broiler_2.6 kg alive at 98 days_3 feeds_3</v>
      </c>
      <c r="C19" s="96" t="s">
        <v>234</v>
      </c>
      <c r="D19" s="96" t="s">
        <v>358</v>
      </c>
      <c r="E19" s="97">
        <v>3</v>
      </c>
      <c r="F19" s="98" t="s">
        <v>3</v>
      </c>
      <c r="G19" s="97" t="s">
        <v>246</v>
      </c>
      <c r="H19" s="96" t="s">
        <v>244</v>
      </c>
      <c r="I19" s="97" t="s">
        <v>241</v>
      </c>
      <c r="J19" s="99">
        <v>11.506276150627615</v>
      </c>
      <c r="K19" s="93">
        <v>19</v>
      </c>
      <c r="L19" s="93">
        <v>2.2000000000000002</v>
      </c>
      <c r="M19" s="93">
        <v>0</v>
      </c>
      <c r="N19" s="93">
        <v>1.05</v>
      </c>
      <c r="O19" s="93">
        <v>0.4</v>
      </c>
      <c r="P19" s="93">
        <v>0.15</v>
      </c>
      <c r="Q19" s="94">
        <v>0.99590572092508567</v>
      </c>
      <c r="R19" s="93">
        <v>0.9</v>
      </c>
      <c r="S19" s="94">
        <v>0.38729666924864437</v>
      </c>
      <c r="T19" s="93">
        <v>0.35</v>
      </c>
      <c r="U19" s="94">
        <v>0.7524621002545091</v>
      </c>
      <c r="V19" s="93">
        <v>0.68</v>
      </c>
      <c r="W19" s="94">
        <v>0.66393714728339037</v>
      </c>
      <c r="X19" s="93">
        <v>0.6</v>
      </c>
      <c r="Y19" s="94">
        <v>0.16598428682084759</v>
      </c>
      <c r="Z19" s="93">
        <v>0.15</v>
      </c>
      <c r="AA19" s="99">
        <v>12.133891213389122</v>
      </c>
      <c r="AB19" s="93">
        <v>21</v>
      </c>
      <c r="AC19" s="93">
        <v>5.5</v>
      </c>
      <c r="AD19" s="93">
        <v>5</v>
      </c>
      <c r="AE19" s="93">
        <v>1.1499999999999999</v>
      </c>
      <c r="AF19" s="93">
        <v>0.45</v>
      </c>
      <c r="AG19" s="93">
        <v>0.18</v>
      </c>
      <c r="AH19" s="94">
        <v>1.106561912138984</v>
      </c>
      <c r="AI19" s="93">
        <v>1</v>
      </c>
      <c r="AJ19" s="94">
        <v>0.49795286046254283</v>
      </c>
      <c r="AK19" s="94">
        <v>0.45</v>
      </c>
      <c r="AL19" s="94">
        <v>0.86311829146840757</v>
      </c>
      <c r="AM19" s="94">
        <v>0.78</v>
      </c>
      <c r="AN19" s="94">
        <v>0.88524952971118731</v>
      </c>
      <c r="AO19" s="94">
        <v>0.8</v>
      </c>
      <c r="AP19" s="94">
        <v>0.38729666924864437</v>
      </c>
      <c r="AQ19" s="94">
        <v>0.35</v>
      </c>
      <c r="AR19" s="86"/>
    </row>
    <row r="20" spans="1:44" x14ac:dyDescent="0.25">
      <c r="A20" s="96" t="str">
        <f>Requirment[[#This Row],[Production]]&amp;"_"&amp;Requirment[[#This Row],[Scenarios ]]&amp;"_"&amp;Requirment[[#This Row],[Nb phasis]]&amp;"_"&amp;Requirment[[#This Row],[Formula_Name]]</f>
        <v>Broiler_2.4 kg alive 84 days_2_Finishing</v>
      </c>
      <c r="B20" s="96" t="str">
        <f>Requirment[[#This Row],[Production]]&amp;"_"&amp;Requirment[[#This Row],[Scenarios ]]&amp;"_"&amp;Requirment[[#This Row],[Nb phasis]]</f>
        <v>Broiler_2.4 kg alive 84 days_2</v>
      </c>
      <c r="C20" s="96" t="s">
        <v>234</v>
      </c>
      <c r="D20" s="96" t="s">
        <v>257</v>
      </c>
      <c r="E20" s="97">
        <v>2</v>
      </c>
      <c r="F20" s="98" t="s">
        <v>235</v>
      </c>
      <c r="G20" s="97" t="s">
        <v>248</v>
      </c>
      <c r="H20" s="96" t="s">
        <v>237</v>
      </c>
      <c r="I20" s="97" t="s">
        <v>238</v>
      </c>
      <c r="J20" s="93">
        <v>11.2</v>
      </c>
      <c r="K20" s="93">
        <v>17</v>
      </c>
      <c r="L20" s="93">
        <v>4</v>
      </c>
      <c r="M20" s="93">
        <v>2.5</v>
      </c>
      <c r="N20" s="93">
        <v>0.7</v>
      </c>
      <c r="O20" s="93">
        <v>0.7</v>
      </c>
      <c r="P20" s="93">
        <v>0.2</v>
      </c>
      <c r="Q20" s="94">
        <v>0.7</v>
      </c>
      <c r="R20" s="94">
        <v>0.62999999999999989</v>
      </c>
      <c r="S20" s="94">
        <v>0.3</v>
      </c>
      <c r="T20" s="94">
        <v>0.26999999999999996</v>
      </c>
      <c r="U20" s="94">
        <v>0.52954999999999997</v>
      </c>
      <c r="V20" s="94">
        <v>0.47659499999999994</v>
      </c>
      <c r="W20" s="94">
        <v>0.47298999999999997</v>
      </c>
      <c r="X20" s="94">
        <v>0.42569099999999993</v>
      </c>
      <c r="Y20" s="94">
        <v>0.126</v>
      </c>
      <c r="Z20" s="85">
        <v>0.11339999999999997</v>
      </c>
      <c r="AA20" s="99">
        <v>11.2</v>
      </c>
      <c r="AB20" s="93">
        <v>17</v>
      </c>
      <c r="AC20" s="93">
        <v>4</v>
      </c>
      <c r="AD20" s="93">
        <v>2.5</v>
      </c>
      <c r="AE20" s="93">
        <v>0.7</v>
      </c>
      <c r="AF20" s="93">
        <v>0.7</v>
      </c>
      <c r="AG20" s="93">
        <v>0.2</v>
      </c>
      <c r="AH20" s="94">
        <v>0.7</v>
      </c>
      <c r="AI20" s="93">
        <v>0.62999999999999989</v>
      </c>
      <c r="AJ20" s="94">
        <v>0.3</v>
      </c>
      <c r="AK20" s="94">
        <v>0.26999999999999996</v>
      </c>
      <c r="AL20" s="94">
        <v>0.52954999999999997</v>
      </c>
      <c r="AM20" s="94">
        <v>0.47659499999999994</v>
      </c>
      <c r="AN20" s="94">
        <v>0.47298999999999997</v>
      </c>
      <c r="AO20" s="94">
        <v>0.42569099999999993</v>
      </c>
      <c r="AP20" s="94">
        <v>0.126</v>
      </c>
      <c r="AQ20" s="94">
        <v>0.11339999999999997</v>
      </c>
      <c r="AR20" s="86"/>
    </row>
    <row r="21" spans="1:44" x14ac:dyDescent="0.25">
      <c r="A21" s="96" t="str">
        <f>Requirment[[#This Row],[Production]]&amp;"_"&amp;Requirment[[#This Row],[Scenarios ]]&amp;"_"&amp;Requirment[[#This Row],[Nb phasis]]&amp;"_"&amp;Requirment[[#This Row],[Formula_Name]]</f>
        <v>Broiler_2.4 kg alive 84 days_2_Starter</v>
      </c>
      <c r="B21" s="96" t="str">
        <f>Requirment[[#This Row],[Production]]&amp;"_"&amp;Requirment[[#This Row],[Scenarios ]]&amp;"_"&amp;Requirment[[#This Row],[Nb phasis]]</f>
        <v>Broiler_2.4 kg alive 84 days_2</v>
      </c>
      <c r="C21" s="96" t="s">
        <v>234</v>
      </c>
      <c r="D21" s="96" t="s">
        <v>257</v>
      </c>
      <c r="E21" s="97">
        <v>2</v>
      </c>
      <c r="F21" s="98" t="s">
        <v>3</v>
      </c>
      <c r="G21" s="97" t="s">
        <v>258</v>
      </c>
      <c r="H21" s="96" t="s">
        <v>237</v>
      </c>
      <c r="I21" s="97" t="s">
        <v>241</v>
      </c>
      <c r="J21" s="93">
        <v>11.2</v>
      </c>
      <c r="K21" s="93">
        <v>21</v>
      </c>
      <c r="L21" s="93">
        <v>4</v>
      </c>
      <c r="M21" s="93">
        <v>2</v>
      </c>
      <c r="N21" s="93">
        <v>0.9</v>
      </c>
      <c r="O21" s="93">
        <v>0.7</v>
      </c>
      <c r="P21" s="93">
        <v>0.2</v>
      </c>
      <c r="Q21" s="94">
        <v>1</v>
      </c>
      <c r="R21" s="94">
        <v>0.90370000000000006</v>
      </c>
      <c r="S21" s="94">
        <v>0.3</v>
      </c>
      <c r="T21" s="94">
        <v>0.27111000000000002</v>
      </c>
      <c r="U21" s="94">
        <v>0.75760000000000005</v>
      </c>
      <c r="V21" s="85">
        <v>0.68464312000000005</v>
      </c>
      <c r="W21" s="85">
        <v>0.66670000000000007</v>
      </c>
      <c r="X21" s="85">
        <v>0.60249679000000012</v>
      </c>
      <c r="Y21" s="85">
        <v>0.16670000000000001</v>
      </c>
      <c r="Z21" s="85">
        <v>0.15064679000000003</v>
      </c>
      <c r="AA21" s="99">
        <v>11.2</v>
      </c>
      <c r="AB21" s="93">
        <v>21</v>
      </c>
      <c r="AC21" s="93">
        <v>8</v>
      </c>
      <c r="AD21" s="93">
        <v>2</v>
      </c>
      <c r="AE21" s="93">
        <v>0.9</v>
      </c>
      <c r="AF21" s="93">
        <v>0.7</v>
      </c>
      <c r="AG21" s="93">
        <v>0.2</v>
      </c>
      <c r="AH21" s="94">
        <v>1</v>
      </c>
      <c r="AI21" s="94">
        <v>0.90370000000000006</v>
      </c>
      <c r="AJ21" s="94">
        <v>0.3</v>
      </c>
      <c r="AK21" s="94">
        <v>0.27111000000000002</v>
      </c>
      <c r="AL21" s="94">
        <v>0.75760000000000005</v>
      </c>
      <c r="AM21" s="94">
        <v>0.68464312000000005</v>
      </c>
      <c r="AN21" s="94">
        <v>0.66670000000000007</v>
      </c>
      <c r="AO21" s="94">
        <v>0.60249679000000012</v>
      </c>
      <c r="AP21" s="94">
        <v>0.16670000000000001</v>
      </c>
      <c r="AQ21" s="94">
        <v>0.15064679000000003</v>
      </c>
      <c r="AR21" s="86"/>
    </row>
    <row r="22" spans="1:44" x14ac:dyDescent="0.25">
      <c r="A22" s="96" t="str">
        <f>Requirment[[#This Row],[Production]]&amp;"_"&amp;Requirment[[#This Row],[Scenarios ]]&amp;"_"&amp;Requirment[[#This Row],[Nb phasis]]&amp;"_"&amp;Requirment[[#This Row],[Formula_Name]]</f>
        <v>Pullets_Growers_2_Growing</v>
      </c>
      <c r="B22" s="96" t="str">
        <f>Requirment[[#This Row],[Production]]&amp;"_"&amp;Requirment[[#This Row],[Scenarios ]]&amp;"_"&amp;Requirment[[#This Row],[Nb phasis]]</f>
        <v>Pullets_Growers_2</v>
      </c>
      <c r="C22" s="96" t="s">
        <v>259</v>
      </c>
      <c r="D22" s="96" t="s">
        <v>260</v>
      </c>
      <c r="E22" s="97">
        <v>2</v>
      </c>
      <c r="F22" s="98" t="s">
        <v>239</v>
      </c>
      <c r="G22" s="97" t="s">
        <v>261</v>
      </c>
      <c r="H22" s="96" t="s">
        <v>244</v>
      </c>
      <c r="I22" s="97" t="s">
        <v>238</v>
      </c>
      <c r="J22" s="99">
        <v>10.878661087866108</v>
      </c>
      <c r="K22" s="93">
        <v>16</v>
      </c>
      <c r="L22" s="93">
        <v>2</v>
      </c>
      <c r="M22" s="93">
        <v>0</v>
      </c>
      <c r="N22" s="93">
        <v>1</v>
      </c>
      <c r="O22" s="93">
        <v>0.35</v>
      </c>
      <c r="P22" s="93">
        <v>0.12</v>
      </c>
      <c r="Q22" s="94">
        <v>0.68888888888888888</v>
      </c>
      <c r="R22" s="93">
        <v>0.62</v>
      </c>
      <c r="S22" s="94">
        <v>0.26666666666666666</v>
      </c>
      <c r="T22" s="93">
        <v>0.24</v>
      </c>
      <c r="U22" s="94">
        <v>0.52222222222222225</v>
      </c>
      <c r="V22" s="93">
        <v>0.47</v>
      </c>
      <c r="W22" s="94">
        <v>0.48888888888888893</v>
      </c>
      <c r="X22" s="93">
        <v>0.44</v>
      </c>
      <c r="Y22" s="94">
        <v>0.12222222222222223</v>
      </c>
      <c r="Z22" s="93">
        <v>0.11</v>
      </c>
      <c r="AA22" s="99">
        <v>11.715481171548117</v>
      </c>
      <c r="AB22" s="93">
        <v>18</v>
      </c>
      <c r="AC22" s="93">
        <v>7</v>
      </c>
      <c r="AD22" s="93">
        <v>7</v>
      </c>
      <c r="AE22" s="93">
        <v>1.1000000000000001</v>
      </c>
      <c r="AF22" s="93">
        <v>0.45</v>
      </c>
      <c r="AG22" s="93">
        <v>0.22</v>
      </c>
      <c r="AH22" s="94">
        <v>0.8</v>
      </c>
      <c r="AI22" s="93">
        <v>0.72</v>
      </c>
      <c r="AJ22" s="94">
        <v>0.37777777777777782</v>
      </c>
      <c r="AK22" s="94">
        <v>0.34</v>
      </c>
      <c r="AL22" s="94">
        <v>0.6333333333333333</v>
      </c>
      <c r="AM22" s="94">
        <v>0.56999999999999995</v>
      </c>
      <c r="AN22" s="94">
        <v>0.71111111111111125</v>
      </c>
      <c r="AO22" s="94">
        <v>0.64</v>
      </c>
      <c r="AP22" s="94">
        <v>0.3444444444444445</v>
      </c>
      <c r="AQ22" s="94">
        <v>0.31</v>
      </c>
      <c r="AR22" s="86"/>
    </row>
    <row r="23" spans="1:44" x14ac:dyDescent="0.25">
      <c r="A23" s="96" t="str">
        <f>Requirment[[#This Row],[Production]]&amp;"_"&amp;Requirment[[#This Row],[Scenarios ]]&amp;"_"&amp;Requirment[[#This Row],[Nb phasis]]&amp;"_"&amp;Requirment[[#This Row],[Formula_Name]]</f>
        <v>Pullets_Growers_2_Starter</v>
      </c>
      <c r="B23" s="96" t="str">
        <f>Requirment[[#This Row],[Production]]&amp;"_"&amp;Requirment[[#This Row],[Scenarios ]]&amp;"_"&amp;Requirment[[#This Row],[Nb phasis]]</f>
        <v>Pullets_Growers_2</v>
      </c>
      <c r="C23" s="96" t="s">
        <v>259</v>
      </c>
      <c r="D23" s="96" t="s">
        <v>260</v>
      </c>
      <c r="E23" s="97">
        <v>2</v>
      </c>
      <c r="F23" s="98" t="s">
        <v>3</v>
      </c>
      <c r="G23" s="97" t="s">
        <v>262</v>
      </c>
      <c r="H23" s="96" t="s">
        <v>244</v>
      </c>
      <c r="I23" s="97" t="s">
        <v>241</v>
      </c>
      <c r="J23" s="99">
        <v>11.506276150627615</v>
      </c>
      <c r="K23" s="93">
        <v>19</v>
      </c>
      <c r="L23" s="93">
        <v>2</v>
      </c>
      <c r="M23" s="93">
        <v>0</v>
      </c>
      <c r="N23" s="93">
        <v>1</v>
      </c>
      <c r="O23" s="93">
        <v>0.4</v>
      </c>
      <c r="P23" s="93">
        <v>0.15</v>
      </c>
      <c r="Q23" s="94">
        <v>0.94057762531813649</v>
      </c>
      <c r="R23" s="93">
        <v>0.85</v>
      </c>
      <c r="S23" s="94">
        <v>0.35409981188447492</v>
      </c>
      <c r="T23" s="93">
        <v>0.32</v>
      </c>
      <c r="U23" s="94">
        <v>0.70819962376894985</v>
      </c>
      <c r="V23" s="93">
        <v>0.64</v>
      </c>
      <c r="W23" s="94">
        <v>0.66393714728339048</v>
      </c>
      <c r="X23" s="93">
        <v>0.6</v>
      </c>
      <c r="Y23" s="94">
        <v>0.16598428682084762</v>
      </c>
      <c r="Z23" s="93">
        <v>0.15</v>
      </c>
      <c r="AA23" s="99">
        <v>11.92468619246862</v>
      </c>
      <c r="AB23" s="93">
        <v>21</v>
      </c>
      <c r="AC23" s="93">
        <v>5</v>
      </c>
      <c r="AD23" s="93">
        <v>5</v>
      </c>
      <c r="AE23" s="93">
        <v>1.1000000000000001</v>
      </c>
      <c r="AF23" s="93">
        <v>0.45</v>
      </c>
      <c r="AG23" s="93">
        <v>0.18</v>
      </c>
      <c r="AH23" s="94">
        <v>1.051233816532035</v>
      </c>
      <c r="AI23" s="93">
        <v>0.95</v>
      </c>
      <c r="AJ23" s="94">
        <v>0.46475600309837334</v>
      </c>
      <c r="AK23" s="94">
        <v>0.42</v>
      </c>
      <c r="AL23" s="94">
        <v>0.81885581498284821</v>
      </c>
      <c r="AM23" s="94">
        <v>0.74</v>
      </c>
      <c r="AN23" s="94">
        <v>0.88524952971118742</v>
      </c>
      <c r="AO23" s="94">
        <v>0.8</v>
      </c>
      <c r="AP23" s="94">
        <v>0.38729666924864398</v>
      </c>
      <c r="AQ23" s="94">
        <v>0.35</v>
      </c>
      <c r="AR23" s="86"/>
    </row>
    <row r="24" spans="1:44" x14ac:dyDescent="0.25">
      <c r="A24" s="96" t="str">
        <f>Requirment[[#This Row],[Production]]&amp;"_"&amp;Requirment[[#This Row],[Scenarios ]]&amp;"_"&amp;Requirment[[#This Row],[Nb phasis]]&amp;"_"&amp;Requirment[[#This Row],[Formula_Name]]</f>
        <v>Laying Hen_High level 250 to 300 eggs per year_ 2 Feeds_2_Laying</v>
      </c>
      <c r="B24" s="96" t="str">
        <f>Requirment[[#This Row],[Production]]&amp;"_"&amp;Requirment[[#This Row],[Scenarios ]]&amp;"_"&amp;Requirment[[#This Row],[Nb phasis]]</f>
        <v>Laying Hen_High level 250 to 300 eggs per year_ 2 Feeds_2</v>
      </c>
      <c r="C24" s="96" t="s">
        <v>263</v>
      </c>
      <c r="D24" s="96" t="s">
        <v>264</v>
      </c>
      <c r="E24" s="97">
        <v>2</v>
      </c>
      <c r="F24" s="98" t="s">
        <v>265</v>
      </c>
      <c r="G24" s="97" t="s">
        <v>266</v>
      </c>
      <c r="H24" s="96" t="s">
        <v>244</v>
      </c>
      <c r="I24" s="97" t="s">
        <v>267</v>
      </c>
      <c r="J24" s="99">
        <v>11.087866108786612</v>
      </c>
      <c r="K24" s="93">
        <v>15</v>
      </c>
      <c r="L24" s="93">
        <v>4</v>
      </c>
      <c r="M24" s="93">
        <v>0</v>
      </c>
      <c r="N24" s="93">
        <v>3.5</v>
      </c>
      <c r="O24" s="93">
        <v>0.31</v>
      </c>
      <c r="P24" s="93">
        <v>0.13</v>
      </c>
      <c r="Q24" s="94">
        <v>0.6873239436619718</v>
      </c>
      <c r="R24" s="93">
        <v>0.61</v>
      </c>
      <c r="S24" s="94">
        <v>0.32676056338028164</v>
      </c>
      <c r="T24" s="93">
        <v>0.28999999999999998</v>
      </c>
      <c r="U24" s="94">
        <v>0.64225352112676048</v>
      </c>
      <c r="V24" s="93">
        <v>0.56999999999999995</v>
      </c>
      <c r="W24" s="94">
        <v>0.47323943661971829</v>
      </c>
      <c r="X24" s="93">
        <v>0.42</v>
      </c>
      <c r="Y24" s="94">
        <v>0.14647887323943662</v>
      </c>
      <c r="Z24" s="93">
        <v>0.13</v>
      </c>
      <c r="AA24" s="99">
        <v>11.506276150627615</v>
      </c>
      <c r="AB24" s="93">
        <v>19</v>
      </c>
      <c r="AC24" s="93">
        <v>7</v>
      </c>
      <c r="AD24" s="93">
        <v>7</v>
      </c>
      <c r="AE24" s="93"/>
      <c r="AF24" s="93"/>
      <c r="AG24" s="93"/>
      <c r="AH24" s="94">
        <v>0.8</v>
      </c>
      <c r="AI24" s="93">
        <v>0.71</v>
      </c>
      <c r="AJ24" s="94">
        <v>0</v>
      </c>
      <c r="AK24" s="94"/>
      <c r="AL24" s="94">
        <v>0</v>
      </c>
      <c r="AM24" s="94"/>
      <c r="AN24" s="94">
        <v>0</v>
      </c>
      <c r="AO24" s="94"/>
      <c r="AP24" s="94">
        <v>0</v>
      </c>
      <c r="AQ24" s="94"/>
      <c r="AR24" s="86"/>
    </row>
    <row r="25" spans="1:44" x14ac:dyDescent="0.25">
      <c r="A25" s="96" t="str">
        <f>Requirment[[#This Row],[Production]]&amp;"_"&amp;Requirment[[#This Row],[Scenarios ]]&amp;"_"&amp;Requirment[[#This Row],[Nb phasis]]&amp;"_"&amp;Requirment[[#This Row],[Formula_Name]]</f>
        <v>Laying Hen_High level 250 to 300 eggs per year_ 2 Feeds_2_Starter laying</v>
      </c>
      <c r="B25" s="96" t="str">
        <f>Requirment[[#This Row],[Production]]&amp;"_"&amp;Requirment[[#This Row],[Scenarios ]]&amp;"_"&amp;Requirment[[#This Row],[Nb phasis]]</f>
        <v>Laying Hen_High level 250 to 300 eggs per year_ 2 Feeds_2</v>
      </c>
      <c r="C25" s="96" t="s">
        <v>263</v>
      </c>
      <c r="D25" s="96" t="s">
        <v>264</v>
      </c>
      <c r="E25" s="97">
        <v>2</v>
      </c>
      <c r="F25" s="98" t="s">
        <v>268</v>
      </c>
      <c r="G25" s="97" t="s">
        <v>269</v>
      </c>
      <c r="H25" s="96" t="s">
        <v>244</v>
      </c>
      <c r="I25" s="97" t="s">
        <v>267</v>
      </c>
      <c r="J25" s="99">
        <v>11.297071129707113</v>
      </c>
      <c r="K25" s="93">
        <v>15</v>
      </c>
      <c r="L25" s="93">
        <v>4</v>
      </c>
      <c r="M25" s="93">
        <v>0</v>
      </c>
      <c r="N25" s="93">
        <v>3.5</v>
      </c>
      <c r="O25" s="93">
        <v>0.31</v>
      </c>
      <c r="P25" s="93">
        <v>0.13</v>
      </c>
      <c r="Q25" s="94">
        <v>0.73239436619718312</v>
      </c>
      <c r="R25" s="93">
        <v>0.65</v>
      </c>
      <c r="S25" s="94">
        <v>0.3380281690140845</v>
      </c>
      <c r="T25" s="93">
        <v>0.3</v>
      </c>
      <c r="U25" s="94">
        <v>0.6873239436619718</v>
      </c>
      <c r="V25" s="93">
        <v>0.61</v>
      </c>
      <c r="W25" s="94">
        <v>0.50704225352112675</v>
      </c>
      <c r="X25" s="93">
        <v>0.45</v>
      </c>
      <c r="Y25" s="94">
        <v>0.15774647887323945</v>
      </c>
      <c r="Z25" s="93">
        <v>0.14000000000000001</v>
      </c>
      <c r="AA25" s="99">
        <v>12.133891213389122</v>
      </c>
      <c r="AB25" s="93">
        <v>20</v>
      </c>
      <c r="AC25" s="93">
        <v>7</v>
      </c>
      <c r="AD25" s="93">
        <v>7</v>
      </c>
      <c r="AE25" s="93"/>
      <c r="AF25" s="93"/>
      <c r="AG25" s="93"/>
      <c r="AH25" s="94">
        <v>0.84507042253521125</v>
      </c>
      <c r="AI25" s="93">
        <v>0.75</v>
      </c>
      <c r="AJ25" s="94">
        <v>0</v>
      </c>
      <c r="AK25" s="94"/>
      <c r="AL25" s="94">
        <v>0</v>
      </c>
      <c r="AM25" s="94"/>
      <c r="AN25" s="94">
        <v>0</v>
      </c>
      <c r="AO25" s="94"/>
      <c r="AP25" s="94">
        <v>0</v>
      </c>
      <c r="AQ25" s="94"/>
      <c r="AR25" s="86"/>
    </row>
    <row r="26" spans="1:44" x14ac:dyDescent="0.25">
      <c r="A26" s="96">
        <v>0</v>
      </c>
      <c r="B26" s="96" t="str">
        <f>Requirment[[#This Row],[Production]]&amp;"_"&amp;Requirment[[#This Row],[Scenarios ]]&amp;"_"&amp;Requirment[[#This Row],[Nb phasis]]</f>
        <v>Laying Hen_High level 250 to 300 eggs per year_ 3 Feeds_2</v>
      </c>
      <c r="C26" s="96" t="s">
        <v>263</v>
      </c>
      <c r="D26" s="96" t="s">
        <v>270</v>
      </c>
      <c r="E26" s="97">
        <v>2</v>
      </c>
      <c r="F26" s="98" t="s">
        <v>265</v>
      </c>
      <c r="G26" s="97" t="s">
        <v>271</v>
      </c>
      <c r="H26" s="96" t="s">
        <v>272</v>
      </c>
      <c r="I26" s="97" t="s">
        <v>267</v>
      </c>
      <c r="J26" s="93">
        <v>10.9</v>
      </c>
      <c r="K26" s="93">
        <v>17.95</v>
      </c>
      <c r="L26" s="93">
        <v>4</v>
      </c>
      <c r="M26" s="93">
        <v>0</v>
      </c>
      <c r="N26" s="93">
        <v>4.4000000000000004</v>
      </c>
      <c r="O26" s="93">
        <v>0.57999999999999996</v>
      </c>
      <c r="P26" s="93">
        <v>0.17</v>
      </c>
      <c r="Q26" s="94">
        <v>0.84</v>
      </c>
      <c r="R26" s="94">
        <v>0.79799999999999993</v>
      </c>
      <c r="S26" s="94">
        <v>0.42</v>
      </c>
      <c r="T26" s="94">
        <v>0.39899999999999997</v>
      </c>
      <c r="U26" s="94">
        <v>0.77</v>
      </c>
      <c r="V26" s="93">
        <v>0.73150000000000004</v>
      </c>
      <c r="W26" s="94">
        <v>0.59</v>
      </c>
      <c r="X26" s="94">
        <v>0.5605</v>
      </c>
      <c r="Y26" s="94">
        <v>0.18</v>
      </c>
      <c r="Z26" s="93">
        <v>0.17099999999999999</v>
      </c>
      <c r="AA26" s="99">
        <v>10.9</v>
      </c>
      <c r="AB26" s="93">
        <v>17.95</v>
      </c>
      <c r="AC26" s="93">
        <v>4</v>
      </c>
      <c r="AD26" s="93"/>
      <c r="AE26" s="93">
        <v>4.4000000000000004</v>
      </c>
      <c r="AF26" s="93">
        <v>0.57999999999999996</v>
      </c>
      <c r="AG26" s="93">
        <v>0.17</v>
      </c>
      <c r="AH26" s="94">
        <v>0.84</v>
      </c>
      <c r="AI26" s="93">
        <v>0.79799999999999993</v>
      </c>
      <c r="AJ26" s="94">
        <v>0.42</v>
      </c>
      <c r="AK26" s="94">
        <v>0.39899999999999997</v>
      </c>
      <c r="AL26" s="94">
        <v>0.77</v>
      </c>
      <c r="AM26" s="94">
        <v>0.73150000000000004</v>
      </c>
      <c r="AN26" s="94">
        <v>0.59</v>
      </c>
      <c r="AO26" s="94">
        <v>0.5605</v>
      </c>
      <c r="AP26" s="94">
        <v>0.18</v>
      </c>
      <c r="AQ26" s="94">
        <v>0.17099999999999999</v>
      </c>
      <c r="AR26" s="86"/>
    </row>
    <row r="27" spans="1:44" x14ac:dyDescent="0.25">
      <c r="A27" s="96" t="str">
        <f>Requirment[[#This Row],[Production]]&amp;"_"&amp;Requirment[[#This Row],[Scenarios ]]&amp;"_"&amp;Requirment[[#This Row],[Nb phasis]]&amp;"_"&amp;Requirment[[#This Row],[Formula_Name]]</f>
        <v>Laying Hen_High level 250 to 300 eggs per year_ 3 Feeds_2_Laying</v>
      </c>
      <c r="B27" s="96" t="str">
        <f>Requirment[[#This Row],[Production]]&amp;"_"&amp;Requirment[[#This Row],[Scenarios ]]&amp;"_"&amp;Requirment[[#This Row],[Nb phasis]]</f>
        <v>Laying Hen_High level 250 to 300 eggs per year_ 3 Feeds_2</v>
      </c>
      <c r="C27" s="96" t="s">
        <v>263</v>
      </c>
      <c r="D27" s="96" t="s">
        <v>270</v>
      </c>
      <c r="E27" s="97">
        <v>2</v>
      </c>
      <c r="F27" s="98" t="s">
        <v>265</v>
      </c>
      <c r="G27" s="97"/>
      <c r="H27" s="96" t="s">
        <v>272</v>
      </c>
      <c r="I27" s="97" t="s">
        <v>267</v>
      </c>
      <c r="J27" s="94">
        <v>11.401673640167363</v>
      </c>
      <c r="K27" s="94">
        <v>17.02</v>
      </c>
      <c r="L27" s="94">
        <v>4</v>
      </c>
      <c r="M27" s="93">
        <v>0</v>
      </c>
      <c r="N27" s="94">
        <v>4.5</v>
      </c>
      <c r="O27" s="94">
        <v>0.55000000000000004</v>
      </c>
      <c r="P27" s="94">
        <v>0.16</v>
      </c>
      <c r="Q27" s="94">
        <v>0.8</v>
      </c>
      <c r="R27" s="94">
        <v>0.76</v>
      </c>
      <c r="S27" s="94">
        <v>0.4</v>
      </c>
      <c r="T27" s="94">
        <v>0.38000000000000006</v>
      </c>
      <c r="U27" s="94">
        <v>0.73</v>
      </c>
      <c r="V27" s="94">
        <v>0.69349999999999989</v>
      </c>
      <c r="W27" s="94">
        <v>0.55000000000000004</v>
      </c>
      <c r="X27" s="94">
        <v>0.52249999999999996</v>
      </c>
      <c r="Y27" s="94">
        <v>0.17</v>
      </c>
      <c r="Z27" s="94">
        <v>0.1615</v>
      </c>
      <c r="AA27" s="99">
        <v>11.401673640167363</v>
      </c>
      <c r="AB27" s="93">
        <v>17.02</v>
      </c>
      <c r="AC27" s="93"/>
      <c r="AD27" s="93"/>
      <c r="AE27" s="93">
        <v>4.5</v>
      </c>
      <c r="AF27" s="93">
        <v>0.55000000000000004</v>
      </c>
      <c r="AG27" s="93">
        <v>0.16</v>
      </c>
      <c r="AH27" s="94">
        <v>0.8</v>
      </c>
      <c r="AI27" s="93">
        <v>0.76</v>
      </c>
      <c r="AJ27" s="94">
        <v>0.4</v>
      </c>
      <c r="AK27" s="94">
        <v>0.38000000000000006</v>
      </c>
      <c r="AL27" s="94">
        <v>0.73</v>
      </c>
      <c r="AM27" s="94">
        <v>0.69349999999999989</v>
      </c>
      <c r="AN27" s="94">
        <v>0.55000000000000004</v>
      </c>
      <c r="AO27" s="94">
        <v>0.52249999999999996</v>
      </c>
      <c r="AP27" s="94">
        <v>0.17</v>
      </c>
      <c r="AQ27" s="94">
        <v>0.1615</v>
      </c>
      <c r="AR27" s="86"/>
    </row>
    <row r="28" spans="1:44" x14ac:dyDescent="0.25">
      <c r="A28" s="96" t="str">
        <f>Requirment[[#This Row],[Production]]&amp;"_"&amp;Requirment[[#This Row],[Scenarios ]]&amp;"_"&amp;Requirment[[#This Row],[Nb phasis]]&amp;"_"&amp;Requirment[[#This Row],[Formula_Name]]</f>
        <v>Laying Hen_High level 250 to 300 eggs per year_ 3 Feeds_2_Starter laying</v>
      </c>
      <c r="B28" s="96" t="str">
        <f>Requirment[[#This Row],[Production]]&amp;"_"&amp;Requirment[[#This Row],[Scenarios ]]&amp;"_"&amp;Requirment[[#This Row],[Nb phasis]]</f>
        <v>Laying Hen_High level 250 to 300 eggs per year_ 3 Feeds_2</v>
      </c>
      <c r="C28" s="96" t="s">
        <v>263</v>
      </c>
      <c r="D28" s="96" t="s">
        <v>270</v>
      </c>
      <c r="E28" s="97">
        <v>2</v>
      </c>
      <c r="F28" s="98" t="s">
        <v>268</v>
      </c>
      <c r="G28" s="97" t="s">
        <v>273</v>
      </c>
      <c r="H28" s="96" t="s">
        <v>272</v>
      </c>
      <c r="I28" s="97" t="s">
        <v>267</v>
      </c>
      <c r="J28" s="93">
        <v>10.9</v>
      </c>
      <c r="K28" s="93">
        <v>18.7</v>
      </c>
      <c r="L28" s="93">
        <v>4</v>
      </c>
      <c r="M28" s="93">
        <v>0</v>
      </c>
      <c r="N28" s="93">
        <v>4.0999999999999996</v>
      </c>
      <c r="O28" s="93">
        <v>0.6</v>
      </c>
      <c r="P28" s="93">
        <v>0.18</v>
      </c>
      <c r="Q28" s="94">
        <v>0.88</v>
      </c>
      <c r="R28" s="94">
        <v>0.83599999999999997</v>
      </c>
      <c r="S28" s="94">
        <v>0.44</v>
      </c>
      <c r="T28" s="94">
        <v>0.41799999999999998</v>
      </c>
      <c r="U28" s="94">
        <v>0.8</v>
      </c>
      <c r="V28" s="93">
        <v>0.76000000000000012</v>
      </c>
      <c r="W28" s="94">
        <v>0.61</v>
      </c>
      <c r="X28" s="94">
        <v>0.57950000000000002</v>
      </c>
      <c r="Y28" s="94">
        <v>0.18</v>
      </c>
      <c r="Z28" s="93">
        <v>0.17099999999999996</v>
      </c>
      <c r="AA28" s="94">
        <v>10.9</v>
      </c>
      <c r="AB28" s="94">
        <v>18.7</v>
      </c>
      <c r="AC28" s="94">
        <v>4</v>
      </c>
      <c r="AD28" s="94"/>
      <c r="AE28" s="94">
        <v>4.0999999999999996</v>
      </c>
      <c r="AF28" s="94">
        <v>0.6</v>
      </c>
      <c r="AG28" s="94">
        <v>0.18</v>
      </c>
      <c r="AH28" s="94">
        <v>0.88</v>
      </c>
      <c r="AI28" s="94">
        <v>0.83599999999999997</v>
      </c>
      <c r="AJ28" s="94">
        <v>0.44</v>
      </c>
      <c r="AK28" s="94">
        <v>0.41799999999999998</v>
      </c>
      <c r="AL28" s="94">
        <v>0.8</v>
      </c>
      <c r="AM28" s="94">
        <v>0.76000000000000012</v>
      </c>
      <c r="AN28" s="94">
        <v>0.61</v>
      </c>
      <c r="AO28" s="94">
        <v>0.57950000000000002</v>
      </c>
      <c r="AP28" s="94">
        <v>0.18</v>
      </c>
      <c r="AQ28" s="94">
        <v>0.17099999999999996</v>
      </c>
      <c r="AR28" s="86"/>
    </row>
    <row r="29" spans="1:44" x14ac:dyDescent="0.25">
      <c r="A29" s="96" t="str">
        <f>Requirment[[#This Row],[Production]]&amp;"_"&amp;Requirment[[#This Row],[Scenarios ]]&amp;"_"&amp;Requirment[[#This Row],[Nb phasis]]&amp;"_"&amp;Requirment[[#This Row],[Formula_Name]]</f>
        <v>Laying Hen_Low level 170 eggs per year_ 2 Feeds_2_Laying</v>
      </c>
      <c r="B29" s="96" t="str">
        <f>Requirment[[#This Row],[Production]]&amp;"_"&amp;Requirment[[#This Row],[Scenarios ]]&amp;"_"&amp;Requirment[[#This Row],[Nb phasis]]</f>
        <v>Laying Hen_Low level 170 eggs per year_ 2 Feeds_2</v>
      </c>
      <c r="C29" s="96" t="s">
        <v>263</v>
      </c>
      <c r="D29" s="96" t="s">
        <v>274</v>
      </c>
      <c r="E29" s="97">
        <v>2</v>
      </c>
      <c r="F29" s="98" t="s">
        <v>265</v>
      </c>
      <c r="G29" s="97" t="s">
        <v>266</v>
      </c>
      <c r="H29" s="96" t="s">
        <v>244</v>
      </c>
      <c r="I29" s="97" t="s">
        <v>267</v>
      </c>
      <c r="J29" s="99">
        <v>11.087866108786612</v>
      </c>
      <c r="K29" s="93">
        <v>15</v>
      </c>
      <c r="L29" s="93">
        <v>4</v>
      </c>
      <c r="M29" s="93">
        <v>0</v>
      </c>
      <c r="N29" s="93">
        <v>3.5</v>
      </c>
      <c r="O29" s="93">
        <v>0.31</v>
      </c>
      <c r="P29" s="93">
        <v>0.13</v>
      </c>
      <c r="Q29" s="94">
        <v>0.69859154929577461</v>
      </c>
      <c r="R29" s="93">
        <v>0.62</v>
      </c>
      <c r="S29" s="94">
        <v>0.28169014084507044</v>
      </c>
      <c r="T29" s="93">
        <v>0.25</v>
      </c>
      <c r="U29" s="94">
        <v>0.56338028169014087</v>
      </c>
      <c r="V29" s="93">
        <v>0.5</v>
      </c>
      <c r="W29" s="94">
        <v>0.47323943661971823</v>
      </c>
      <c r="X29" s="93">
        <v>0.42</v>
      </c>
      <c r="Y29" s="94">
        <v>0.14647887323943662</v>
      </c>
      <c r="Z29" s="93">
        <v>0.13</v>
      </c>
      <c r="AA29" s="99">
        <v>11.506276150627615</v>
      </c>
      <c r="AB29" s="93">
        <v>18</v>
      </c>
      <c r="AC29" s="93">
        <v>7</v>
      </c>
      <c r="AD29" s="93">
        <v>7</v>
      </c>
      <c r="AE29" s="93"/>
      <c r="AF29" s="93"/>
      <c r="AG29" s="93"/>
      <c r="AH29" s="94">
        <v>0.81126760563380285</v>
      </c>
      <c r="AI29" s="93">
        <v>0.72</v>
      </c>
      <c r="AJ29" s="94">
        <v>0</v>
      </c>
      <c r="AK29" s="94"/>
      <c r="AL29" s="94">
        <v>0</v>
      </c>
      <c r="AM29" s="94"/>
      <c r="AN29" s="94">
        <v>0</v>
      </c>
      <c r="AO29" s="94"/>
      <c r="AP29" s="94">
        <v>0</v>
      </c>
      <c r="AQ29" s="94"/>
      <c r="AR29" s="86"/>
    </row>
    <row r="30" spans="1:44" x14ac:dyDescent="0.25">
      <c r="A30" s="96" t="str">
        <f>Requirment[[#This Row],[Production]]&amp;"_"&amp;Requirment[[#This Row],[Scenarios ]]&amp;"_"&amp;Requirment[[#This Row],[Nb phasis]]&amp;"_"&amp;Requirment[[#This Row],[Formula_Name]]</f>
        <v>Laying Hen_Low level 170 eggs per year_ 2 Feeds_2_Starter laying</v>
      </c>
      <c r="B30" s="96" t="str">
        <f>Requirment[[#This Row],[Production]]&amp;"_"&amp;Requirment[[#This Row],[Scenarios ]]&amp;"_"&amp;Requirment[[#This Row],[Nb phasis]]</f>
        <v>Laying Hen_Low level 170 eggs per year_ 2 Feeds_2</v>
      </c>
      <c r="C30" s="96" t="s">
        <v>263</v>
      </c>
      <c r="D30" s="96" t="s">
        <v>274</v>
      </c>
      <c r="E30" s="97">
        <v>2</v>
      </c>
      <c r="F30" s="98" t="s">
        <v>268</v>
      </c>
      <c r="G30" s="97" t="s">
        <v>269</v>
      </c>
      <c r="H30" s="96" t="s">
        <v>244</v>
      </c>
      <c r="I30" s="97" t="s">
        <v>267</v>
      </c>
      <c r="J30" s="99">
        <v>11.297071129707113</v>
      </c>
      <c r="K30" s="93">
        <v>15</v>
      </c>
      <c r="L30" s="93">
        <v>4</v>
      </c>
      <c r="M30" s="93">
        <v>0</v>
      </c>
      <c r="N30" s="93">
        <v>3.5</v>
      </c>
      <c r="O30" s="93">
        <v>0.31</v>
      </c>
      <c r="P30" s="93">
        <v>0.13</v>
      </c>
      <c r="Q30" s="94">
        <v>0.676056338028169</v>
      </c>
      <c r="R30" s="93">
        <v>0.6</v>
      </c>
      <c r="S30" s="94">
        <v>0.3154929577464789</v>
      </c>
      <c r="T30" s="93">
        <v>0.28000000000000003</v>
      </c>
      <c r="U30" s="94">
        <v>0.63098591549295779</v>
      </c>
      <c r="V30" s="93">
        <v>0.56000000000000005</v>
      </c>
      <c r="W30" s="94">
        <v>0.47323943661971829</v>
      </c>
      <c r="X30" s="93">
        <v>0.42</v>
      </c>
      <c r="Y30" s="94">
        <v>0.15774647887323945</v>
      </c>
      <c r="Z30" s="93">
        <v>0.14000000000000001</v>
      </c>
      <c r="AA30" s="99">
        <v>12.133891213389122</v>
      </c>
      <c r="AB30" s="93">
        <v>18</v>
      </c>
      <c r="AC30" s="93">
        <v>7</v>
      </c>
      <c r="AD30" s="93">
        <v>7</v>
      </c>
      <c r="AE30" s="93"/>
      <c r="AF30" s="93"/>
      <c r="AG30" s="93"/>
      <c r="AH30" s="94">
        <v>0.78873239436619713</v>
      </c>
      <c r="AI30" s="93">
        <v>0.7</v>
      </c>
      <c r="AJ30" s="94">
        <v>0</v>
      </c>
      <c r="AK30" s="94"/>
      <c r="AL30" s="94">
        <v>0</v>
      </c>
      <c r="AM30" s="94"/>
      <c r="AN30" s="94">
        <v>0</v>
      </c>
      <c r="AO30" s="94"/>
      <c r="AP30" s="94">
        <v>0</v>
      </c>
      <c r="AQ30" s="94"/>
      <c r="AR30" s="86"/>
    </row>
    <row r="31" spans="1:44" x14ac:dyDescent="0.25">
      <c r="A31" s="96" t="str">
        <f>Requirment[[#This Row],[Production]]&amp;"_"&amp;Requirment[[#This Row],[Scenarios ]]&amp;"_"&amp;Requirment[[#This Row],[Nb phasis]]&amp;"_"&amp;Requirment[[#This Row],[Formula_Name]]</f>
        <v>Laying hens_One feed ans grains  no Min Max_1_Single feed</v>
      </c>
      <c r="B31" s="96" t="str">
        <f>Requirment[[#This Row],[Production]]&amp;"_"&amp;Requirment[[#This Row],[Scenarios ]]&amp;"_"&amp;Requirment[[#This Row],[Nb phasis]]</f>
        <v>Laying hens_One feed ans grains  no Min Max_1</v>
      </c>
      <c r="C31" s="96" t="s">
        <v>275</v>
      </c>
      <c r="D31" s="96" t="s">
        <v>276</v>
      </c>
      <c r="E31" s="97">
        <v>1</v>
      </c>
      <c r="F31" s="98" t="s">
        <v>254</v>
      </c>
      <c r="G31" s="97" t="s">
        <v>277</v>
      </c>
      <c r="H31" s="96" t="s">
        <v>278</v>
      </c>
      <c r="I31" s="97" t="s">
        <v>267</v>
      </c>
      <c r="J31" s="99">
        <v>0</v>
      </c>
      <c r="K31" s="93">
        <v>20</v>
      </c>
      <c r="L31" s="93">
        <v>2</v>
      </c>
      <c r="M31" s="93">
        <v>4</v>
      </c>
      <c r="N31" s="93">
        <v>5</v>
      </c>
      <c r="O31" s="93">
        <v>0.64</v>
      </c>
      <c r="P31" s="93">
        <v>0.17</v>
      </c>
      <c r="Q31" s="94">
        <v>1.1267605633802817</v>
      </c>
      <c r="R31" s="93">
        <v>1</v>
      </c>
      <c r="S31" s="94">
        <v>0.45070422535211274</v>
      </c>
      <c r="T31" s="93">
        <v>0.4</v>
      </c>
      <c r="U31" s="94">
        <v>0.94647887323943658</v>
      </c>
      <c r="V31" s="93">
        <v>0.84</v>
      </c>
      <c r="W31" s="94">
        <v>0</v>
      </c>
      <c r="X31" s="93"/>
      <c r="Y31" s="94">
        <v>0</v>
      </c>
      <c r="Z31" s="93"/>
      <c r="AA31" s="99">
        <v>0</v>
      </c>
      <c r="AB31" s="93"/>
      <c r="AC31" s="93"/>
      <c r="AD31" s="93"/>
      <c r="AE31" s="93"/>
      <c r="AF31" s="93"/>
      <c r="AG31" s="93"/>
      <c r="AH31" s="94"/>
      <c r="AI31" s="93"/>
      <c r="AJ31" s="94"/>
      <c r="AK31" s="94"/>
      <c r="AL31" s="94"/>
      <c r="AM31" s="94"/>
      <c r="AN31" s="94"/>
      <c r="AO31" s="94"/>
      <c r="AP31" s="94"/>
      <c r="AQ31" s="94"/>
      <c r="AR31" s="86"/>
    </row>
    <row r="32" spans="1:44" x14ac:dyDescent="0.25">
      <c r="A32" s="96" t="str">
        <f>Requirment[[#This Row],[Production]]&amp;"_"&amp;Requirment[[#This Row],[Scenarios ]]&amp;"_"&amp;Requirment[[#This Row],[Nb phasis]]&amp;"_"&amp;Requirment[[#This Row],[Formula_Name]]</f>
        <v>Broiler_Broiler_2.6 kg alive at 98 days_3 feeds_3_Finishing_Red clover silage_3_Finishing</v>
      </c>
      <c r="B32" s="102" t="str">
        <f>Requirment[[#This Row],[Production]]&amp;"_"&amp;Requirment[[#This Row],[Scenarios ]]&amp;"_"&amp;Requirment[[#This Row],[Nb phasis]]</f>
        <v>Broiler_Broiler_2.6 kg alive at 98 days_3 feeds_3_Finishing_Red clover silage_3</v>
      </c>
      <c r="C32" s="96" t="s">
        <v>234</v>
      </c>
      <c r="D32" s="96" t="s">
        <v>386</v>
      </c>
      <c r="E32" s="97">
        <v>3</v>
      </c>
      <c r="F32" s="98" t="s">
        <v>235</v>
      </c>
      <c r="G32" s="97" t="s">
        <v>256</v>
      </c>
      <c r="H32" s="96" t="s">
        <v>244</v>
      </c>
      <c r="I32" s="97" t="s">
        <v>238</v>
      </c>
      <c r="J32" s="93">
        <v>12.953212459321247</v>
      </c>
      <c r="K32" s="93">
        <v>17.11249122807018</v>
      </c>
      <c r="L32" s="93">
        <v>4.5600162206001622</v>
      </c>
      <c r="M32" s="93">
        <v>3.5000000000000009</v>
      </c>
      <c r="N32" s="93">
        <v>0.86333419666752997</v>
      </c>
      <c r="O32" s="93">
        <v>0.40700040700040702</v>
      </c>
      <c r="P32" s="93">
        <v>0.70300070300070316</v>
      </c>
      <c r="Q32" s="94">
        <v>0.62900062900062903</v>
      </c>
      <c r="R32" s="93">
        <v>0.29600029600029604</v>
      </c>
      <c r="S32" s="94">
        <v>0.77777777777777768</v>
      </c>
      <c r="T32" s="93">
        <v>0.3429444444444445</v>
      </c>
      <c r="U32" s="94">
        <v>0.62283333333333346</v>
      </c>
      <c r="V32" s="93">
        <v>0.48627777777777786</v>
      </c>
      <c r="W32" s="94">
        <v>0.26666666666666672</v>
      </c>
      <c r="X32" s="93">
        <v>0.88655555555555576</v>
      </c>
      <c r="Y32" s="94">
        <v>0.33333333333333331</v>
      </c>
      <c r="Z32" s="93">
        <v>0.18333333333333332</v>
      </c>
      <c r="AA32" s="93">
        <v>0</v>
      </c>
      <c r="AB32" s="93">
        <v>0</v>
      </c>
      <c r="AC32" s="93">
        <v>0</v>
      </c>
      <c r="AD32" s="93">
        <v>0</v>
      </c>
      <c r="AE32" s="93">
        <v>0</v>
      </c>
      <c r="AF32" s="93">
        <v>0</v>
      </c>
      <c r="AG32" s="93">
        <v>0</v>
      </c>
      <c r="AH32" s="94">
        <v>0</v>
      </c>
      <c r="AI32" s="93">
        <v>0</v>
      </c>
      <c r="AJ32" s="94">
        <v>0</v>
      </c>
      <c r="AK32" s="94">
        <v>0</v>
      </c>
      <c r="AL32" s="94">
        <v>0</v>
      </c>
      <c r="AM32" s="94">
        <v>0</v>
      </c>
      <c r="AN32" s="94">
        <v>0</v>
      </c>
      <c r="AO32" s="94">
        <v>0</v>
      </c>
      <c r="AP32" s="94">
        <v>0</v>
      </c>
      <c r="AQ32" s="94">
        <v>0</v>
      </c>
      <c r="AR32" s="86"/>
    </row>
    <row r="33" spans="1:44" x14ac:dyDescent="0.25">
      <c r="A33" s="96" t="str">
        <f>Requirment[[#This Row],[Production]]&amp;"_"&amp;Requirment[[#This Row],[Scenarios ]]&amp;"_"&amp;Requirment[[#This Row],[Nb phasis]]&amp;"_"&amp;Requirment[[#This Row],[Formula_Name]]</f>
        <v>___</v>
      </c>
      <c r="B33" s="102" t="str">
        <f>Requirment[[#This Row],[Production]]&amp;"_"&amp;Requirment[[#This Row],[Scenarios ]]&amp;"_"&amp;Requirment[[#This Row],[Nb phasis]]</f>
        <v>__</v>
      </c>
      <c r="C33" s="96"/>
      <c r="D33" s="96"/>
      <c r="E33" s="97"/>
      <c r="F33" s="98"/>
      <c r="G33" s="97"/>
      <c r="H33" s="96"/>
      <c r="I33" s="97"/>
      <c r="J33" s="93"/>
      <c r="K33" s="93"/>
      <c r="L33" s="93"/>
      <c r="M33" s="93"/>
      <c r="N33" s="93"/>
      <c r="O33" s="93"/>
      <c r="P33" s="93"/>
      <c r="Q33" s="94"/>
      <c r="R33" s="93"/>
      <c r="S33" s="94"/>
      <c r="T33" s="93"/>
      <c r="U33" s="94"/>
      <c r="V33" s="93"/>
      <c r="W33" s="94"/>
      <c r="X33" s="93"/>
      <c r="Y33" s="94"/>
      <c r="Z33" s="93"/>
      <c r="AA33" s="93"/>
      <c r="AB33" s="93"/>
      <c r="AC33" s="93"/>
      <c r="AD33" s="93"/>
      <c r="AE33" s="93"/>
      <c r="AF33" s="93"/>
      <c r="AG33" s="93"/>
      <c r="AH33" s="94"/>
      <c r="AI33" s="93"/>
      <c r="AJ33" s="94"/>
      <c r="AK33" s="94"/>
      <c r="AL33" s="94"/>
      <c r="AM33" s="94"/>
      <c r="AN33" s="94"/>
      <c r="AO33" s="94"/>
      <c r="AP33" s="94"/>
      <c r="AQ33" s="94"/>
      <c r="AR33" s="86"/>
    </row>
    <row r="34" spans="1:44" x14ac:dyDescent="0.25">
      <c r="A34" s="96" t="str">
        <f>Requirment[[#This Row],[Production]]&amp;"_"&amp;Requirment[[#This Row],[Scenarios ]]&amp;"_"&amp;Requirment[[#This Row],[Nb phasis]]&amp;"_"&amp;Requirment[[#This Row],[Formula_Name]]</f>
        <v>___</v>
      </c>
      <c r="B34" s="102" t="str">
        <f>Requirment[[#This Row],[Production]]&amp;"_"&amp;Requirment[[#This Row],[Scenarios ]]&amp;"_"&amp;Requirment[[#This Row],[Nb phasis]]</f>
        <v>__</v>
      </c>
      <c r="C34" s="96"/>
      <c r="D34" s="96"/>
      <c r="E34" s="97"/>
      <c r="F34" s="98"/>
      <c r="G34" s="97"/>
      <c r="H34" s="96"/>
      <c r="I34" s="97"/>
      <c r="J34" s="93"/>
      <c r="K34" s="93"/>
      <c r="L34" s="93"/>
      <c r="M34" s="93"/>
      <c r="N34" s="93"/>
      <c r="O34" s="93"/>
      <c r="P34" s="93"/>
      <c r="Q34" s="94"/>
      <c r="R34" s="93"/>
      <c r="S34" s="94"/>
      <c r="T34" s="93"/>
      <c r="U34" s="94"/>
      <c r="V34" s="93"/>
      <c r="W34" s="94"/>
      <c r="X34" s="93"/>
      <c r="Y34" s="94"/>
      <c r="Z34" s="93"/>
      <c r="AA34" s="93"/>
      <c r="AB34" s="93"/>
      <c r="AC34" s="93"/>
      <c r="AD34" s="93"/>
      <c r="AE34" s="93"/>
      <c r="AF34" s="93"/>
      <c r="AG34" s="93"/>
      <c r="AH34" s="94"/>
      <c r="AI34" s="93"/>
      <c r="AJ34" s="94"/>
      <c r="AK34" s="94"/>
      <c r="AL34" s="94"/>
      <c r="AM34" s="94"/>
      <c r="AN34" s="94"/>
      <c r="AO34" s="94"/>
      <c r="AP34" s="94"/>
      <c r="AQ34" s="94"/>
      <c r="AR34" s="86"/>
    </row>
    <row r="35" spans="1:44" x14ac:dyDescent="0.25">
      <c r="A35" s="96" t="str">
        <f>Requirment[[#This Row],[Production]]&amp;"_"&amp;Requirment[[#This Row],[Scenarios ]]&amp;"_"&amp;Requirment[[#This Row],[Nb phasis]]&amp;"_"&amp;Requirment[[#This Row],[Formula_Name]]</f>
        <v>___</v>
      </c>
      <c r="B35" s="102" t="str">
        <f>Requirment[[#This Row],[Production]]&amp;"_"&amp;Requirment[[#This Row],[Scenarios ]]&amp;"_"&amp;Requirment[[#This Row],[Nb phasis]]</f>
        <v>__</v>
      </c>
      <c r="C35" s="96"/>
      <c r="D35" s="96"/>
      <c r="E35" s="97"/>
      <c r="F35" s="98"/>
      <c r="G35" s="97"/>
      <c r="H35" s="96"/>
      <c r="I35" s="97"/>
      <c r="J35" s="93"/>
      <c r="K35" s="93"/>
      <c r="L35" s="93"/>
      <c r="M35" s="93"/>
      <c r="N35" s="93"/>
      <c r="O35" s="93"/>
      <c r="P35" s="93"/>
      <c r="Q35" s="94"/>
      <c r="R35" s="93"/>
      <c r="S35" s="94"/>
      <c r="T35" s="93"/>
      <c r="U35" s="94"/>
      <c r="V35" s="93"/>
      <c r="W35" s="94"/>
      <c r="X35" s="93"/>
      <c r="Y35" s="94"/>
      <c r="Z35" s="93"/>
      <c r="AA35" s="93"/>
      <c r="AB35" s="93"/>
      <c r="AC35" s="93"/>
      <c r="AD35" s="93"/>
      <c r="AE35" s="93"/>
      <c r="AF35" s="93"/>
      <c r="AG35" s="93"/>
      <c r="AH35" s="94"/>
      <c r="AI35" s="93"/>
      <c r="AJ35" s="94"/>
      <c r="AK35" s="94"/>
      <c r="AL35" s="94"/>
      <c r="AM35" s="94"/>
      <c r="AN35" s="94"/>
      <c r="AO35" s="94"/>
      <c r="AP35" s="94"/>
      <c r="AQ35" s="94"/>
      <c r="AR35" s="86"/>
    </row>
    <row r="36" spans="1:44" x14ac:dyDescent="0.25">
      <c r="A36" s="96" t="str">
        <f>Requirment[[#This Row],[Production]]&amp;"_"&amp;Requirment[[#This Row],[Scenarios ]]&amp;"_"&amp;Requirment[[#This Row],[Nb phasis]]&amp;"_"&amp;Requirment[[#This Row],[Formula_Name]]</f>
        <v>___</v>
      </c>
      <c r="B36" s="102" t="str">
        <f>Requirment[[#This Row],[Production]]&amp;"_"&amp;Requirment[[#This Row],[Scenarios ]]&amp;"_"&amp;Requirment[[#This Row],[Nb phasis]]</f>
        <v>__</v>
      </c>
      <c r="C36" s="96"/>
      <c r="D36" s="96"/>
      <c r="E36" s="97"/>
      <c r="F36" s="98"/>
      <c r="G36" s="97"/>
      <c r="H36" s="96"/>
      <c r="I36" s="97"/>
      <c r="J36" s="93"/>
      <c r="K36" s="93"/>
      <c r="L36" s="93"/>
      <c r="M36" s="93"/>
      <c r="N36" s="93"/>
      <c r="O36" s="93"/>
      <c r="P36" s="93"/>
      <c r="Q36" s="94"/>
      <c r="R36" s="93"/>
      <c r="S36" s="94"/>
      <c r="T36" s="93"/>
      <c r="U36" s="94"/>
      <c r="V36" s="93"/>
      <c r="W36" s="94"/>
      <c r="X36" s="93"/>
      <c r="Y36" s="94"/>
      <c r="Z36" s="93"/>
      <c r="AA36" s="93"/>
      <c r="AB36" s="93"/>
      <c r="AC36" s="93"/>
      <c r="AD36" s="93"/>
      <c r="AE36" s="93"/>
      <c r="AF36" s="93"/>
      <c r="AG36" s="93"/>
      <c r="AH36" s="94"/>
      <c r="AI36" s="93"/>
      <c r="AJ36" s="94"/>
      <c r="AK36" s="94"/>
      <c r="AL36" s="94"/>
      <c r="AM36" s="94"/>
      <c r="AN36" s="94"/>
      <c r="AO36" s="94"/>
      <c r="AP36" s="94"/>
      <c r="AQ36" s="94"/>
      <c r="AR36" s="86"/>
    </row>
    <row r="37" spans="1:44" x14ac:dyDescent="0.25">
      <c r="A37" s="96" t="str">
        <f>Requirment[[#This Row],[Production]]&amp;"_"&amp;Requirment[[#This Row],[Scenarios ]]&amp;"_"&amp;Requirment[[#This Row],[Nb phasis]]&amp;"_"&amp;Requirment[[#This Row],[Formula_Name]]</f>
        <v>___</v>
      </c>
      <c r="B37" s="102" t="str">
        <f>Requirment[[#This Row],[Production]]&amp;"_"&amp;Requirment[[#This Row],[Scenarios ]]&amp;"_"&amp;Requirment[[#This Row],[Nb phasis]]</f>
        <v>__</v>
      </c>
      <c r="C37" s="96"/>
      <c r="D37" s="96"/>
      <c r="E37" s="97"/>
      <c r="F37" s="98"/>
      <c r="G37" s="97"/>
      <c r="H37" s="96"/>
      <c r="I37" s="97"/>
      <c r="J37" s="93"/>
      <c r="K37" s="93"/>
      <c r="L37" s="93"/>
      <c r="M37" s="93"/>
      <c r="N37" s="93"/>
      <c r="O37" s="93"/>
      <c r="P37" s="93"/>
      <c r="Q37" s="94"/>
      <c r="R37" s="93"/>
      <c r="S37" s="94"/>
      <c r="T37" s="93"/>
      <c r="U37" s="94"/>
      <c r="V37" s="93"/>
      <c r="W37" s="94"/>
      <c r="X37" s="93"/>
      <c r="Y37" s="94"/>
      <c r="Z37" s="93"/>
      <c r="AA37" s="93"/>
      <c r="AB37" s="93"/>
      <c r="AC37" s="93"/>
      <c r="AD37" s="93"/>
      <c r="AE37" s="93"/>
      <c r="AF37" s="93"/>
      <c r="AG37" s="93"/>
      <c r="AH37" s="94"/>
      <c r="AI37" s="93"/>
      <c r="AJ37" s="94"/>
      <c r="AK37" s="94"/>
      <c r="AL37" s="94"/>
      <c r="AM37" s="94"/>
      <c r="AN37" s="94"/>
      <c r="AO37" s="94"/>
      <c r="AP37" s="94"/>
      <c r="AQ37" s="94"/>
      <c r="AR37" s="86"/>
    </row>
    <row r="38" spans="1:44" x14ac:dyDescent="0.25">
      <c r="A38" s="96" t="str">
        <f>Requirment[[#This Row],[Production]]&amp;"_"&amp;Requirment[[#This Row],[Scenarios ]]&amp;"_"&amp;Requirment[[#This Row],[Nb phasis]]&amp;"_"&amp;Requirment[[#This Row],[Formula_Name]]</f>
        <v>___</v>
      </c>
      <c r="B38" s="102" t="str">
        <f>Requirment[[#This Row],[Production]]&amp;"_"&amp;Requirment[[#This Row],[Scenarios ]]&amp;"_"&amp;Requirment[[#This Row],[Nb phasis]]</f>
        <v>__</v>
      </c>
      <c r="C38" s="96"/>
      <c r="D38" s="96"/>
      <c r="E38" s="97"/>
      <c r="F38" s="98"/>
      <c r="G38" s="97"/>
      <c r="H38" s="96"/>
      <c r="I38" s="97"/>
      <c r="J38" s="93"/>
      <c r="K38" s="93"/>
      <c r="L38" s="93"/>
      <c r="M38" s="93"/>
      <c r="N38" s="93"/>
      <c r="O38" s="93"/>
      <c r="P38" s="93"/>
      <c r="Q38" s="94"/>
      <c r="R38" s="93"/>
      <c r="S38" s="94"/>
      <c r="T38" s="93"/>
      <c r="U38" s="94"/>
      <c r="V38" s="93"/>
      <c r="W38" s="94"/>
      <c r="X38" s="93"/>
      <c r="Y38" s="94"/>
      <c r="Z38" s="93"/>
      <c r="AA38" s="93"/>
      <c r="AB38" s="93"/>
      <c r="AC38" s="93"/>
      <c r="AD38" s="93"/>
      <c r="AE38" s="93"/>
      <c r="AF38" s="93"/>
      <c r="AG38" s="93"/>
      <c r="AH38" s="94"/>
      <c r="AI38" s="93"/>
      <c r="AJ38" s="94"/>
      <c r="AK38" s="94"/>
      <c r="AL38" s="94"/>
      <c r="AM38" s="94"/>
      <c r="AN38" s="94"/>
      <c r="AO38" s="94"/>
      <c r="AP38" s="94"/>
      <c r="AQ38" s="94"/>
      <c r="AR38" s="86"/>
    </row>
    <row r="39" spans="1:44" x14ac:dyDescent="0.25">
      <c r="A39" s="96" t="str">
        <f>Requirment[[#This Row],[Production]]&amp;"_"&amp;Requirment[[#This Row],[Scenarios ]]&amp;"_"&amp;Requirment[[#This Row],[Nb phasis]]&amp;"_"&amp;Requirment[[#This Row],[Formula_Name]]</f>
        <v>___</v>
      </c>
      <c r="B39" s="102" t="str">
        <f>Requirment[[#This Row],[Production]]&amp;"_"&amp;Requirment[[#This Row],[Scenarios ]]&amp;"_"&amp;Requirment[[#This Row],[Nb phasis]]</f>
        <v>__</v>
      </c>
      <c r="C39" s="96"/>
      <c r="D39" s="96"/>
      <c r="E39" s="97"/>
      <c r="F39" s="98"/>
      <c r="G39" s="97"/>
      <c r="H39" s="96"/>
      <c r="I39" s="97"/>
      <c r="J39" s="93"/>
      <c r="K39" s="93"/>
      <c r="L39" s="93"/>
      <c r="M39" s="93"/>
      <c r="N39" s="93"/>
      <c r="O39" s="93"/>
      <c r="P39" s="93"/>
      <c r="Q39" s="94"/>
      <c r="R39" s="93"/>
      <c r="S39" s="94"/>
      <c r="T39" s="93"/>
      <c r="U39" s="94"/>
      <c r="V39" s="93"/>
      <c r="W39" s="94"/>
      <c r="X39" s="93"/>
      <c r="Y39" s="94"/>
      <c r="Z39" s="93"/>
      <c r="AA39" s="93"/>
      <c r="AB39" s="93"/>
      <c r="AC39" s="93"/>
      <c r="AD39" s="93"/>
      <c r="AE39" s="93"/>
      <c r="AF39" s="93"/>
      <c r="AG39" s="93"/>
      <c r="AH39" s="94"/>
      <c r="AI39" s="93"/>
      <c r="AJ39" s="94"/>
      <c r="AK39" s="94"/>
      <c r="AL39" s="94"/>
      <c r="AM39" s="94"/>
      <c r="AN39" s="94"/>
      <c r="AO39" s="94"/>
      <c r="AP39" s="94"/>
      <c r="AQ39" s="94"/>
      <c r="AR39" s="86"/>
    </row>
    <row r="40" spans="1:44" x14ac:dyDescent="0.25">
      <c r="A40" s="96" t="str">
        <f>Requirment[[#This Row],[Production]]&amp;"_"&amp;Requirment[[#This Row],[Scenarios ]]&amp;"_"&amp;Requirment[[#This Row],[Nb phasis]]&amp;"_"&amp;Requirment[[#This Row],[Formula_Name]]</f>
        <v>___</v>
      </c>
      <c r="B40" s="102" t="str">
        <f>Requirment[[#This Row],[Production]]&amp;"_"&amp;Requirment[[#This Row],[Scenarios ]]&amp;"_"&amp;Requirment[[#This Row],[Nb phasis]]</f>
        <v>__</v>
      </c>
      <c r="C40" s="96"/>
      <c r="D40" s="96"/>
      <c r="E40" s="97"/>
      <c r="F40" s="98"/>
      <c r="G40" s="97"/>
      <c r="H40" s="96"/>
      <c r="I40" s="97"/>
      <c r="J40" s="93"/>
      <c r="K40" s="93"/>
      <c r="L40" s="93"/>
      <c r="M40" s="93"/>
      <c r="N40" s="93"/>
      <c r="O40" s="93"/>
      <c r="P40" s="93"/>
      <c r="Q40" s="94"/>
      <c r="R40" s="93"/>
      <c r="S40" s="94"/>
      <c r="T40" s="93"/>
      <c r="U40" s="94"/>
      <c r="V40" s="93"/>
      <c r="W40" s="94"/>
      <c r="X40" s="93"/>
      <c r="Y40" s="94"/>
      <c r="Z40" s="93"/>
      <c r="AA40" s="93"/>
      <c r="AB40" s="93"/>
      <c r="AC40" s="93"/>
      <c r="AD40" s="93"/>
      <c r="AE40" s="93"/>
      <c r="AF40" s="93"/>
      <c r="AG40" s="93"/>
      <c r="AH40" s="94"/>
      <c r="AI40" s="93"/>
      <c r="AJ40" s="94"/>
      <c r="AK40" s="94"/>
      <c r="AL40" s="94"/>
      <c r="AM40" s="94"/>
      <c r="AN40" s="94"/>
      <c r="AO40" s="94"/>
      <c r="AP40" s="94"/>
      <c r="AQ40" s="94"/>
      <c r="AR40" s="86"/>
    </row>
    <row r="41" spans="1:44" x14ac:dyDescent="0.25">
      <c r="A41" s="96" t="str">
        <f>Requirment[[#This Row],[Production]]&amp;"_"&amp;Requirment[[#This Row],[Scenarios ]]&amp;"_"&amp;Requirment[[#This Row],[Nb phasis]]&amp;"_"&amp;Requirment[[#This Row],[Formula_Name]]</f>
        <v>___</v>
      </c>
      <c r="B41" s="102" t="str">
        <f>Requirment[[#This Row],[Production]]&amp;"_"&amp;Requirment[[#This Row],[Scenarios ]]&amp;"_"&amp;Requirment[[#This Row],[Nb phasis]]</f>
        <v>__</v>
      </c>
      <c r="C41" s="96"/>
      <c r="D41" s="96"/>
      <c r="E41" s="97"/>
      <c r="F41" s="98"/>
      <c r="G41" s="97"/>
      <c r="H41" s="96"/>
      <c r="I41" s="97"/>
      <c r="J41" s="93"/>
      <c r="K41" s="93"/>
      <c r="L41" s="93"/>
      <c r="M41" s="93"/>
      <c r="N41" s="93"/>
      <c r="O41" s="93"/>
      <c r="P41" s="93"/>
      <c r="Q41" s="94"/>
      <c r="R41" s="93"/>
      <c r="S41" s="94"/>
      <c r="T41" s="93"/>
      <c r="U41" s="94"/>
      <c r="V41" s="93"/>
      <c r="W41" s="94"/>
      <c r="X41" s="93"/>
      <c r="Y41" s="94"/>
      <c r="Z41" s="93"/>
      <c r="AA41" s="93"/>
      <c r="AB41" s="93"/>
      <c r="AC41" s="93"/>
      <c r="AD41" s="93"/>
      <c r="AE41" s="93"/>
      <c r="AF41" s="93"/>
      <c r="AG41" s="93"/>
      <c r="AH41" s="94"/>
      <c r="AI41" s="93"/>
      <c r="AJ41" s="94"/>
      <c r="AK41" s="94"/>
      <c r="AL41" s="94"/>
      <c r="AM41" s="94"/>
      <c r="AN41" s="94"/>
      <c r="AO41" s="94"/>
      <c r="AP41" s="94"/>
      <c r="AQ41" s="94"/>
      <c r="AR41" s="86"/>
    </row>
    <row r="42" spans="1:44" x14ac:dyDescent="0.25">
      <c r="A42" s="96" t="str">
        <f>Requirment[[#This Row],[Production]]&amp;"_"&amp;Requirment[[#This Row],[Scenarios ]]&amp;"_"&amp;Requirment[[#This Row],[Nb phasis]]&amp;"_"&amp;Requirment[[#This Row],[Formula_Name]]</f>
        <v>___</v>
      </c>
      <c r="B42" s="102" t="str">
        <f>Requirment[[#This Row],[Production]]&amp;"_"&amp;Requirment[[#This Row],[Scenarios ]]&amp;"_"&amp;Requirment[[#This Row],[Nb phasis]]</f>
        <v>__</v>
      </c>
      <c r="C42" s="96"/>
      <c r="D42" s="96"/>
      <c r="E42" s="97"/>
      <c r="F42" s="98"/>
      <c r="G42" s="97"/>
      <c r="H42" s="96"/>
      <c r="I42" s="97"/>
      <c r="J42" s="93"/>
      <c r="K42" s="93"/>
      <c r="L42" s="93"/>
      <c r="M42" s="93"/>
      <c r="N42" s="93"/>
      <c r="O42" s="93"/>
      <c r="P42" s="93"/>
      <c r="Q42" s="94"/>
      <c r="R42" s="93"/>
      <c r="S42" s="94"/>
      <c r="T42" s="93"/>
      <c r="U42" s="94"/>
      <c r="V42" s="93"/>
      <c r="W42" s="94"/>
      <c r="X42" s="93"/>
      <c r="Y42" s="94"/>
      <c r="Z42" s="93"/>
      <c r="AA42" s="93"/>
      <c r="AB42" s="93"/>
      <c r="AC42" s="93"/>
      <c r="AD42" s="93"/>
      <c r="AE42" s="93"/>
      <c r="AF42" s="93"/>
      <c r="AG42" s="93"/>
      <c r="AH42" s="94"/>
      <c r="AI42" s="93"/>
      <c r="AJ42" s="94"/>
      <c r="AK42" s="94"/>
      <c r="AL42" s="94"/>
      <c r="AM42" s="94"/>
      <c r="AN42" s="94"/>
      <c r="AO42" s="94"/>
      <c r="AP42" s="94"/>
      <c r="AQ42" s="94"/>
      <c r="AR42" s="86"/>
    </row>
    <row r="43" spans="1:44" x14ac:dyDescent="0.25">
      <c r="A43" s="96" t="str">
        <f>Requirment[[#This Row],[Production]]&amp;"_"&amp;Requirment[[#This Row],[Scenarios ]]&amp;"_"&amp;Requirment[[#This Row],[Nb phasis]]&amp;"_"&amp;Requirment[[#This Row],[Formula_Name]]</f>
        <v>___</v>
      </c>
      <c r="B43" s="102" t="str">
        <f>Requirment[[#This Row],[Production]]&amp;"_"&amp;Requirment[[#This Row],[Scenarios ]]&amp;"_"&amp;Requirment[[#This Row],[Nb phasis]]</f>
        <v>__</v>
      </c>
      <c r="C43" s="96"/>
      <c r="D43" s="96"/>
      <c r="E43" s="97"/>
      <c r="F43" s="98"/>
      <c r="G43" s="97"/>
      <c r="H43" s="96"/>
      <c r="I43" s="97"/>
      <c r="J43" s="93"/>
      <c r="K43" s="93"/>
      <c r="L43" s="93"/>
      <c r="M43" s="93"/>
      <c r="N43" s="93"/>
      <c r="O43" s="93"/>
      <c r="P43" s="93"/>
      <c r="Q43" s="94"/>
      <c r="R43" s="93"/>
      <c r="S43" s="94"/>
      <c r="T43" s="93"/>
      <c r="U43" s="94"/>
      <c r="V43" s="93"/>
      <c r="W43" s="94"/>
      <c r="X43" s="93"/>
      <c r="Y43" s="94"/>
      <c r="Z43" s="93"/>
      <c r="AA43" s="93"/>
      <c r="AB43" s="93"/>
      <c r="AC43" s="93"/>
      <c r="AD43" s="93"/>
      <c r="AE43" s="93"/>
      <c r="AF43" s="93"/>
      <c r="AG43" s="93"/>
      <c r="AH43" s="94"/>
      <c r="AI43" s="93"/>
      <c r="AJ43" s="94"/>
      <c r="AK43" s="94"/>
      <c r="AL43" s="94"/>
      <c r="AM43" s="94"/>
      <c r="AN43" s="94"/>
      <c r="AO43" s="94"/>
      <c r="AP43" s="94"/>
      <c r="AQ43" s="94"/>
      <c r="AR43" s="86"/>
    </row>
    <row r="44" spans="1:44" x14ac:dyDescent="0.25">
      <c r="A44" s="96" t="str">
        <f>Requirment[[#This Row],[Production]]&amp;"_"&amp;Requirment[[#This Row],[Scenarios ]]&amp;"_"&amp;Requirment[[#This Row],[Nb phasis]]&amp;"_"&amp;Requirment[[#This Row],[Formula_Name]]</f>
        <v>___</v>
      </c>
      <c r="B44" s="102" t="str">
        <f>Requirment[[#This Row],[Production]]&amp;"_"&amp;Requirment[[#This Row],[Scenarios ]]&amp;"_"&amp;Requirment[[#This Row],[Nb phasis]]</f>
        <v>__</v>
      </c>
      <c r="C44" s="96"/>
      <c r="D44" s="96"/>
      <c r="E44" s="97"/>
      <c r="F44" s="98"/>
      <c r="G44" s="97"/>
      <c r="H44" s="96"/>
      <c r="I44" s="97"/>
      <c r="J44" s="93"/>
      <c r="K44" s="93"/>
      <c r="L44" s="93"/>
      <c r="M44" s="93"/>
      <c r="N44" s="93"/>
      <c r="O44" s="93"/>
      <c r="P44" s="93"/>
      <c r="Q44" s="94"/>
      <c r="R44" s="93"/>
      <c r="S44" s="94"/>
      <c r="T44" s="93"/>
      <c r="U44" s="94"/>
      <c r="V44" s="93"/>
      <c r="W44" s="94"/>
      <c r="X44" s="93"/>
      <c r="Y44" s="94"/>
      <c r="Z44" s="93"/>
      <c r="AA44" s="93"/>
      <c r="AB44" s="93"/>
      <c r="AC44" s="93"/>
      <c r="AD44" s="93"/>
      <c r="AE44" s="93"/>
      <c r="AF44" s="93"/>
      <c r="AG44" s="93"/>
      <c r="AH44" s="94"/>
      <c r="AI44" s="93"/>
      <c r="AJ44" s="94"/>
      <c r="AK44" s="94"/>
      <c r="AL44" s="94"/>
      <c r="AM44" s="94"/>
      <c r="AN44" s="94"/>
      <c r="AO44" s="94"/>
      <c r="AP44" s="94"/>
      <c r="AQ44" s="94"/>
      <c r="AR44" s="86"/>
    </row>
    <row r="45" spans="1:44" x14ac:dyDescent="0.25">
      <c r="A45" s="96" t="str">
        <f>Requirment[[#This Row],[Production]]&amp;"_"&amp;Requirment[[#This Row],[Scenarios ]]&amp;"_"&amp;Requirment[[#This Row],[Nb phasis]]&amp;"_"&amp;Requirment[[#This Row],[Formula_Name]]</f>
        <v>___</v>
      </c>
      <c r="B45" s="102" t="str">
        <f>Requirment[[#This Row],[Production]]&amp;"_"&amp;Requirment[[#This Row],[Scenarios ]]&amp;"_"&amp;Requirment[[#This Row],[Nb phasis]]</f>
        <v>__</v>
      </c>
      <c r="C45" s="96"/>
      <c r="D45" s="96"/>
      <c r="E45" s="97"/>
      <c r="F45" s="98"/>
      <c r="G45" s="97"/>
      <c r="H45" s="96"/>
      <c r="I45" s="97"/>
      <c r="J45" s="93"/>
      <c r="K45" s="93"/>
      <c r="L45" s="93"/>
      <c r="M45" s="93"/>
      <c r="N45" s="93"/>
      <c r="O45" s="93"/>
      <c r="P45" s="93"/>
      <c r="Q45" s="94"/>
      <c r="R45" s="93"/>
      <c r="S45" s="94"/>
      <c r="T45" s="93"/>
      <c r="U45" s="94"/>
      <c r="V45" s="93"/>
      <c r="W45" s="94"/>
      <c r="X45" s="93"/>
      <c r="Y45" s="94"/>
      <c r="Z45" s="93"/>
      <c r="AA45" s="93"/>
      <c r="AB45" s="93"/>
      <c r="AC45" s="93"/>
      <c r="AD45" s="93"/>
      <c r="AE45" s="93"/>
      <c r="AF45" s="93"/>
      <c r="AG45" s="93"/>
      <c r="AH45" s="94"/>
      <c r="AI45" s="93"/>
      <c r="AJ45" s="94"/>
      <c r="AK45" s="94"/>
      <c r="AL45" s="94"/>
      <c r="AM45" s="94"/>
      <c r="AN45" s="94"/>
      <c r="AO45" s="94"/>
      <c r="AP45" s="94"/>
      <c r="AQ45" s="94"/>
      <c r="AR45" s="86"/>
    </row>
    <row r="46" spans="1:44" x14ac:dyDescent="0.25">
      <c r="A46" s="96" t="str">
        <f>Requirment[[#This Row],[Production]]&amp;"_"&amp;Requirment[[#This Row],[Scenarios ]]&amp;"_"&amp;Requirment[[#This Row],[Nb phasis]]&amp;"_"&amp;Requirment[[#This Row],[Formula_Name]]</f>
        <v>___</v>
      </c>
      <c r="B46" s="102" t="str">
        <f>Requirment[[#This Row],[Production]]&amp;"_"&amp;Requirment[[#This Row],[Scenarios ]]&amp;"_"&amp;Requirment[[#This Row],[Nb phasis]]</f>
        <v>__</v>
      </c>
      <c r="C46" s="96"/>
      <c r="D46" s="96"/>
      <c r="E46" s="97"/>
      <c r="F46" s="98"/>
      <c r="G46" s="97"/>
      <c r="H46" s="96"/>
      <c r="I46" s="97"/>
      <c r="J46" s="93"/>
      <c r="K46" s="93"/>
      <c r="L46" s="93"/>
      <c r="M46" s="93"/>
      <c r="N46" s="93"/>
      <c r="O46" s="93"/>
      <c r="P46" s="93"/>
      <c r="Q46" s="94"/>
      <c r="R46" s="93"/>
      <c r="S46" s="94"/>
      <c r="T46" s="93"/>
      <c r="U46" s="94"/>
      <c r="V46" s="93"/>
      <c r="W46" s="94"/>
      <c r="X46" s="93"/>
      <c r="Y46" s="94"/>
      <c r="Z46" s="93"/>
      <c r="AA46" s="93"/>
      <c r="AB46" s="93"/>
      <c r="AC46" s="93"/>
      <c r="AD46" s="93"/>
      <c r="AE46" s="93"/>
      <c r="AF46" s="93"/>
      <c r="AG46" s="93"/>
      <c r="AH46" s="94"/>
      <c r="AI46" s="93"/>
      <c r="AJ46" s="94"/>
      <c r="AK46" s="94"/>
      <c r="AL46" s="94"/>
      <c r="AM46" s="94"/>
      <c r="AN46" s="94"/>
      <c r="AO46" s="94"/>
      <c r="AP46" s="94"/>
      <c r="AQ46" s="94"/>
      <c r="AR46" s="86"/>
    </row>
    <row r="47" spans="1:44" x14ac:dyDescent="0.25">
      <c r="A47" s="96" t="str">
        <f>Requirment[[#This Row],[Production]]&amp;"_"&amp;Requirment[[#This Row],[Scenarios ]]&amp;"_"&amp;Requirment[[#This Row],[Nb phasis]]&amp;"_"&amp;Requirment[[#This Row],[Formula_Name]]</f>
        <v>___</v>
      </c>
      <c r="B47" s="102" t="str">
        <f>Requirment[[#This Row],[Production]]&amp;"_"&amp;Requirment[[#This Row],[Scenarios ]]&amp;"_"&amp;Requirment[[#This Row],[Nb phasis]]</f>
        <v>__</v>
      </c>
      <c r="C47" s="96"/>
      <c r="D47" s="96"/>
      <c r="E47" s="97"/>
      <c r="F47" s="98"/>
      <c r="G47" s="97"/>
      <c r="H47" s="96"/>
      <c r="I47" s="97"/>
      <c r="J47" s="93"/>
      <c r="K47" s="93"/>
      <c r="L47" s="93"/>
      <c r="M47" s="93"/>
      <c r="N47" s="93"/>
      <c r="O47" s="93"/>
      <c r="P47" s="93"/>
      <c r="Q47" s="94"/>
      <c r="R47" s="93"/>
      <c r="S47" s="94"/>
      <c r="T47" s="93"/>
      <c r="U47" s="94"/>
      <c r="V47" s="93"/>
      <c r="W47" s="94"/>
      <c r="X47" s="93"/>
      <c r="Y47" s="94"/>
      <c r="Z47" s="93"/>
      <c r="AA47" s="93"/>
      <c r="AB47" s="93"/>
      <c r="AC47" s="93"/>
      <c r="AD47" s="93"/>
      <c r="AE47" s="93"/>
      <c r="AF47" s="93"/>
      <c r="AG47" s="93"/>
      <c r="AH47" s="94"/>
      <c r="AI47" s="93"/>
      <c r="AJ47" s="94"/>
      <c r="AK47" s="94"/>
      <c r="AL47" s="94"/>
      <c r="AM47" s="94"/>
      <c r="AN47" s="94"/>
      <c r="AO47" s="94"/>
      <c r="AP47" s="94"/>
      <c r="AQ47" s="94"/>
      <c r="AR47" s="86"/>
    </row>
    <row r="48" spans="1:44" x14ac:dyDescent="0.25">
      <c r="A48" s="96" t="str">
        <f>Requirment[[#This Row],[Production]]&amp;"_"&amp;Requirment[[#This Row],[Scenarios ]]&amp;"_"&amp;Requirment[[#This Row],[Nb phasis]]&amp;"_"&amp;Requirment[[#This Row],[Formula_Name]]</f>
        <v>___</v>
      </c>
      <c r="B48" s="102" t="str">
        <f>Requirment[[#This Row],[Production]]&amp;"_"&amp;Requirment[[#This Row],[Scenarios ]]&amp;"_"&amp;Requirment[[#This Row],[Nb phasis]]</f>
        <v>__</v>
      </c>
      <c r="C48" s="96"/>
      <c r="D48" s="96"/>
      <c r="E48" s="97"/>
      <c r="F48" s="98"/>
      <c r="G48" s="97"/>
      <c r="H48" s="96"/>
      <c r="I48" s="97"/>
      <c r="J48" s="93"/>
      <c r="K48" s="93"/>
      <c r="L48" s="93"/>
      <c r="M48" s="93"/>
      <c r="N48" s="93"/>
      <c r="O48" s="93"/>
      <c r="P48" s="93"/>
      <c r="Q48" s="94"/>
      <c r="R48" s="93"/>
      <c r="S48" s="94"/>
      <c r="T48" s="93"/>
      <c r="U48" s="94"/>
      <c r="V48" s="93"/>
      <c r="W48" s="94"/>
      <c r="X48" s="93"/>
      <c r="Y48" s="94"/>
      <c r="Z48" s="93"/>
      <c r="AA48" s="93"/>
      <c r="AB48" s="93"/>
      <c r="AC48" s="93"/>
      <c r="AD48" s="93"/>
      <c r="AE48" s="93"/>
      <c r="AF48" s="93"/>
      <c r="AG48" s="93"/>
      <c r="AH48" s="94"/>
      <c r="AI48" s="93"/>
      <c r="AJ48" s="94"/>
      <c r="AK48" s="94"/>
      <c r="AL48" s="94"/>
      <c r="AM48" s="94"/>
      <c r="AN48" s="94"/>
      <c r="AO48" s="94"/>
      <c r="AP48" s="94"/>
      <c r="AQ48" s="94"/>
      <c r="AR48" s="86"/>
    </row>
    <row r="49" spans="1:44" x14ac:dyDescent="0.25">
      <c r="A49" s="96" t="str">
        <f>Requirment[[#This Row],[Production]]&amp;"_"&amp;Requirment[[#This Row],[Scenarios ]]&amp;"_"&amp;Requirment[[#This Row],[Nb phasis]]&amp;"_"&amp;Requirment[[#This Row],[Formula_Name]]</f>
        <v>___</v>
      </c>
      <c r="B49" s="102" t="str">
        <f>Requirment[[#This Row],[Production]]&amp;"_"&amp;Requirment[[#This Row],[Scenarios ]]&amp;"_"&amp;Requirment[[#This Row],[Nb phasis]]</f>
        <v>__</v>
      </c>
      <c r="C49" s="96"/>
      <c r="D49" s="96"/>
      <c r="E49" s="97"/>
      <c r="F49" s="98"/>
      <c r="G49" s="97"/>
      <c r="H49" s="96"/>
      <c r="I49" s="97"/>
      <c r="J49" s="93"/>
      <c r="K49" s="93"/>
      <c r="L49" s="93"/>
      <c r="M49" s="93"/>
      <c r="N49" s="93"/>
      <c r="O49" s="93"/>
      <c r="P49" s="93"/>
      <c r="Q49" s="94"/>
      <c r="R49" s="93"/>
      <c r="S49" s="94"/>
      <c r="T49" s="93"/>
      <c r="U49" s="94"/>
      <c r="V49" s="93"/>
      <c r="W49" s="94"/>
      <c r="X49" s="93"/>
      <c r="Y49" s="94"/>
      <c r="Z49" s="93"/>
      <c r="AA49" s="93"/>
      <c r="AB49" s="93"/>
      <c r="AC49" s="93"/>
      <c r="AD49" s="93"/>
      <c r="AE49" s="93"/>
      <c r="AF49" s="93"/>
      <c r="AG49" s="93"/>
      <c r="AH49" s="94"/>
      <c r="AI49" s="93"/>
      <c r="AJ49" s="94"/>
      <c r="AK49" s="94"/>
      <c r="AL49" s="94"/>
      <c r="AM49" s="94"/>
      <c r="AN49" s="94"/>
      <c r="AO49" s="94"/>
      <c r="AP49" s="94"/>
      <c r="AQ49" s="94"/>
      <c r="AR49" s="86"/>
    </row>
    <row r="50" spans="1:44" x14ac:dyDescent="0.25">
      <c r="A50" s="96" t="str">
        <f>Requirment[[#This Row],[Production]]&amp;"_"&amp;Requirment[[#This Row],[Scenarios ]]&amp;"_"&amp;Requirment[[#This Row],[Nb phasis]]&amp;"_"&amp;Requirment[[#This Row],[Formula_Name]]</f>
        <v>___</v>
      </c>
      <c r="B50" s="102" t="str">
        <f>Requirment[[#This Row],[Production]]&amp;"_"&amp;Requirment[[#This Row],[Scenarios ]]&amp;"_"&amp;Requirment[[#This Row],[Nb phasis]]</f>
        <v>__</v>
      </c>
      <c r="C50" s="96"/>
      <c r="D50" s="96"/>
      <c r="E50" s="97"/>
      <c r="F50" s="98"/>
      <c r="G50" s="97"/>
      <c r="H50" s="96"/>
      <c r="I50" s="97"/>
      <c r="J50" s="93"/>
      <c r="K50" s="93"/>
      <c r="L50" s="93"/>
      <c r="M50" s="93"/>
      <c r="N50" s="93"/>
      <c r="O50" s="93"/>
      <c r="P50" s="93"/>
      <c r="Q50" s="94"/>
      <c r="R50" s="93"/>
      <c r="S50" s="94"/>
      <c r="T50" s="93"/>
      <c r="U50" s="94"/>
      <c r="V50" s="93"/>
      <c r="W50" s="94"/>
      <c r="X50" s="93"/>
      <c r="Y50" s="94"/>
      <c r="Z50" s="93"/>
      <c r="AA50" s="93"/>
      <c r="AB50" s="93"/>
      <c r="AC50" s="93"/>
      <c r="AD50" s="93"/>
      <c r="AE50" s="93"/>
      <c r="AF50" s="93"/>
      <c r="AG50" s="93"/>
      <c r="AH50" s="94"/>
      <c r="AI50" s="93"/>
      <c r="AJ50" s="94"/>
      <c r="AK50" s="94"/>
      <c r="AL50" s="94"/>
      <c r="AM50" s="94"/>
      <c r="AN50" s="94"/>
      <c r="AO50" s="94"/>
      <c r="AP50" s="94"/>
      <c r="AQ50" s="94"/>
      <c r="AR50" s="86"/>
    </row>
    <row r="51" spans="1:44" x14ac:dyDescent="0.25">
      <c r="A51" s="96" t="str">
        <f>Requirment[[#This Row],[Production]]&amp;"_"&amp;Requirment[[#This Row],[Scenarios ]]&amp;"_"&amp;Requirment[[#This Row],[Nb phasis]]&amp;"_"&amp;Requirment[[#This Row],[Formula_Name]]</f>
        <v>___</v>
      </c>
      <c r="B51" s="102" t="str">
        <f>Requirment[[#This Row],[Production]]&amp;"_"&amp;Requirment[[#This Row],[Scenarios ]]&amp;"_"&amp;Requirment[[#This Row],[Nb phasis]]</f>
        <v>__</v>
      </c>
      <c r="C51" s="96"/>
      <c r="D51" s="96"/>
      <c r="E51" s="97"/>
      <c r="F51" s="98"/>
      <c r="G51" s="97"/>
      <c r="H51" s="96"/>
      <c r="I51" s="97"/>
      <c r="J51" s="93"/>
      <c r="K51" s="93"/>
      <c r="L51" s="93"/>
      <c r="M51" s="93"/>
      <c r="N51" s="93"/>
      <c r="O51" s="93"/>
      <c r="P51" s="93"/>
      <c r="Q51" s="94"/>
      <c r="R51" s="93"/>
      <c r="S51" s="94"/>
      <c r="T51" s="93"/>
      <c r="U51" s="94"/>
      <c r="V51" s="93"/>
      <c r="W51" s="94"/>
      <c r="X51" s="93"/>
      <c r="Y51" s="94"/>
      <c r="Z51" s="93"/>
      <c r="AA51" s="93"/>
      <c r="AB51" s="93"/>
      <c r="AC51" s="93"/>
      <c r="AD51" s="93"/>
      <c r="AE51" s="93"/>
      <c r="AF51" s="93"/>
      <c r="AG51" s="93"/>
      <c r="AH51" s="94"/>
      <c r="AI51" s="93"/>
      <c r="AJ51" s="94"/>
      <c r="AK51" s="94"/>
      <c r="AL51" s="94"/>
      <c r="AM51" s="94"/>
      <c r="AN51" s="94"/>
      <c r="AO51" s="94"/>
      <c r="AP51" s="94"/>
      <c r="AQ51" s="94"/>
      <c r="AR51" s="86"/>
    </row>
    <row r="52" spans="1:44" x14ac:dyDescent="0.25">
      <c r="A52" s="96" t="str">
        <f>Requirment[[#This Row],[Production]]&amp;"_"&amp;Requirment[[#This Row],[Scenarios ]]&amp;"_"&amp;Requirment[[#This Row],[Nb phasis]]&amp;"_"&amp;Requirment[[#This Row],[Formula_Name]]</f>
        <v>___</v>
      </c>
      <c r="B52" s="102" t="str">
        <f>Requirment[[#This Row],[Production]]&amp;"_"&amp;Requirment[[#This Row],[Scenarios ]]&amp;"_"&amp;Requirment[[#This Row],[Nb phasis]]</f>
        <v>__</v>
      </c>
      <c r="C52" s="96"/>
      <c r="D52" s="96"/>
      <c r="E52" s="97"/>
      <c r="F52" s="98"/>
      <c r="G52" s="97"/>
      <c r="H52" s="96"/>
      <c r="I52" s="97"/>
      <c r="J52" s="93"/>
      <c r="K52" s="93"/>
      <c r="L52" s="93"/>
      <c r="M52" s="93"/>
      <c r="N52" s="93"/>
      <c r="O52" s="93"/>
      <c r="P52" s="93"/>
      <c r="Q52" s="94"/>
      <c r="R52" s="93"/>
      <c r="S52" s="94"/>
      <c r="T52" s="93"/>
      <c r="U52" s="94"/>
      <c r="V52" s="93"/>
      <c r="W52" s="94"/>
      <c r="X52" s="93"/>
      <c r="Y52" s="94"/>
      <c r="Z52" s="93"/>
      <c r="AA52" s="93"/>
      <c r="AB52" s="93"/>
      <c r="AC52" s="93"/>
      <c r="AD52" s="93"/>
      <c r="AE52" s="93"/>
      <c r="AF52" s="93"/>
      <c r="AG52" s="93"/>
      <c r="AH52" s="94"/>
      <c r="AI52" s="93"/>
      <c r="AJ52" s="94"/>
      <c r="AK52" s="94"/>
      <c r="AL52" s="94"/>
      <c r="AM52" s="94"/>
      <c r="AN52" s="94"/>
      <c r="AO52" s="94"/>
      <c r="AP52" s="94"/>
      <c r="AQ52" s="94"/>
      <c r="AR52" s="86"/>
    </row>
    <row r="53" spans="1:44" x14ac:dyDescent="0.25">
      <c r="A53" s="96" t="str">
        <f>Requirment[[#This Row],[Production]]&amp;"_"&amp;Requirment[[#This Row],[Scenarios ]]&amp;"_"&amp;Requirment[[#This Row],[Nb phasis]]&amp;"_"&amp;Requirment[[#This Row],[Formula_Name]]</f>
        <v>___</v>
      </c>
      <c r="B53" s="102" t="str">
        <f>Requirment[[#This Row],[Production]]&amp;"_"&amp;Requirment[[#This Row],[Scenarios ]]&amp;"_"&amp;Requirment[[#This Row],[Nb phasis]]</f>
        <v>__</v>
      </c>
      <c r="C53" s="96"/>
      <c r="D53" s="96"/>
      <c r="E53" s="97"/>
      <c r="F53" s="98"/>
      <c r="G53" s="97"/>
      <c r="H53" s="96"/>
      <c r="I53" s="97"/>
      <c r="J53" s="93"/>
      <c r="K53" s="93"/>
      <c r="L53" s="93"/>
      <c r="M53" s="93"/>
      <c r="N53" s="93"/>
      <c r="O53" s="93"/>
      <c r="P53" s="93"/>
      <c r="Q53" s="94"/>
      <c r="R53" s="93"/>
      <c r="S53" s="94"/>
      <c r="T53" s="93"/>
      <c r="U53" s="94"/>
      <c r="V53" s="93"/>
      <c r="W53" s="94"/>
      <c r="X53" s="93"/>
      <c r="Y53" s="94"/>
      <c r="Z53" s="93"/>
      <c r="AA53" s="93"/>
      <c r="AB53" s="93"/>
      <c r="AC53" s="93"/>
      <c r="AD53" s="93"/>
      <c r="AE53" s="93"/>
      <c r="AF53" s="93"/>
      <c r="AG53" s="93"/>
      <c r="AH53" s="94"/>
      <c r="AI53" s="93"/>
      <c r="AJ53" s="94"/>
      <c r="AK53" s="94"/>
      <c r="AL53" s="94"/>
      <c r="AM53" s="94"/>
      <c r="AN53" s="94"/>
      <c r="AO53" s="94"/>
      <c r="AP53" s="94"/>
      <c r="AQ53" s="94"/>
      <c r="AR53" s="86"/>
    </row>
    <row r="54" spans="1:44" x14ac:dyDescent="0.25">
      <c r="A54" s="96" t="str">
        <f>Requirment[[#This Row],[Production]]&amp;"_"&amp;Requirment[[#This Row],[Scenarios ]]&amp;"_"&amp;Requirment[[#This Row],[Nb phasis]]&amp;"_"&amp;Requirment[[#This Row],[Formula_Name]]</f>
        <v>___</v>
      </c>
      <c r="B54" s="102" t="str">
        <f>Requirment[[#This Row],[Production]]&amp;"_"&amp;Requirment[[#This Row],[Scenarios ]]&amp;"_"&amp;Requirment[[#This Row],[Nb phasis]]</f>
        <v>__</v>
      </c>
      <c r="C54" s="96"/>
      <c r="D54" s="96"/>
      <c r="E54" s="97"/>
      <c r="F54" s="98"/>
      <c r="G54" s="97"/>
      <c r="H54" s="96"/>
      <c r="I54" s="97"/>
      <c r="J54" s="93"/>
      <c r="K54" s="93"/>
      <c r="L54" s="93"/>
      <c r="M54" s="93"/>
      <c r="N54" s="93"/>
      <c r="O54" s="93"/>
      <c r="P54" s="93"/>
      <c r="Q54" s="94"/>
      <c r="R54" s="93"/>
      <c r="S54" s="94"/>
      <c r="T54" s="93"/>
      <c r="U54" s="94"/>
      <c r="V54" s="93"/>
      <c r="W54" s="94"/>
      <c r="X54" s="93"/>
      <c r="Y54" s="94"/>
      <c r="Z54" s="93"/>
      <c r="AA54" s="93"/>
      <c r="AB54" s="93"/>
      <c r="AC54" s="93"/>
      <c r="AD54" s="93"/>
      <c r="AE54" s="93"/>
      <c r="AF54" s="93"/>
      <c r="AG54" s="93"/>
      <c r="AH54" s="94"/>
      <c r="AI54" s="93"/>
      <c r="AJ54" s="94"/>
      <c r="AK54" s="94"/>
      <c r="AL54" s="94"/>
      <c r="AM54" s="94"/>
      <c r="AN54" s="94"/>
      <c r="AO54" s="94"/>
      <c r="AP54" s="94"/>
      <c r="AQ54" s="94"/>
      <c r="AR54" s="86"/>
    </row>
    <row r="55" spans="1:44" x14ac:dyDescent="0.25">
      <c r="A55" s="96" t="str">
        <f>Requirment[[#This Row],[Production]]&amp;"_"&amp;Requirment[[#This Row],[Scenarios ]]&amp;"_"&amp;Requirment[[#This Row],[Nb phasis]]&amp;"_"&amp;Requirment[[#This Row],[Formula_Name]]</f>
        <v>___</v>
      </c>
      <c r="B55" s="102" t="str">
        <f>Requirment[[#This Row],[Production]]&amp;"_"&amp;Requirment[[#This Row],[Scenarios ]]&amp;"_"&amp;Requirment[[#This Row],[Nb phasis]]</f>
        <v>__</v>
      </c>
      <c r="C55" s="96"/>
      <c r="D55" s="96"/>
      <c r="E55" s="97"/>
      <c r="F55" s="98"/>
      <c r="G55" s="97"/>
      <c r="H55" s="96"/>
      <c r="I55" s="97"/>
      <c r="J55" s="93"/>
      <c r="K55" s="93"/>
      <c r="L55" s="93"/>
      <c r="M55" s="93"/>
      <c r="N55" s="93"/>
      <c r="O55" s="93"/>
      <c r="P55" s="93"/>
      <c r="Q55" s="94"/>
      <c r="R55" s="93"/>
      <c r="S55" s="94"/>
      <c r="T55" s="93"/>
      <c r="U55" s="94"/>
      <c r="V55" s="93"/>
      <c r="W55" s="94"/>
      <c r="X55" s="93"/>
      <c r="Y55" s="94"/>
      <c r="Z55" s="93"/>
      <c r="AA55" s="93"/>
      <c r="AB55" s="93"/>
      <c r="AC55" s="93"/>
      <c r="AD55" s="93"/>
      <c r="AE55" s="93"/>
      <c r="AF55" s="93"/>
      <c r="AG55" s="93"/>
      <c r="AH55" s="94"/>
      <c r="AI55" s="93"/>
      <c r="AJ55" s="94"/>
      <c r="AK55" s="94"/>
      <c r="AL55" s="94"/>
      <c r="AM55" s="94"/>
      <c r="AN55" s="94"/>
      <c r="AO55" s="94"/>
      <c r="AP55" s="94"/>
      <c r="AQ55" s="94"/>
      <c r="AR55" s="86"/>
    </row>
    <row r="56" spans="1:44" x14ac:dyDescent="0.25">
      <c r="A56" s="96" t="str">
        <f>Requirment[[#This Row],[Production]]&amp;"_"&amp;Requirment[[#This Row],[Scenarios ]]&amp;"_"&amp;Requirment[[#This Row],[Nb phasis]]&amp;"_"&amp;Requirment[[#This Row],[Formula_Name]]</f>
        <v>___</v>
      </c>
      <c r="B56" s="102" t="str">
        <f>Requirment[[#This Row],[Production]]&amp;"_"&amp;Requirment[[#This Row],[Scenarios ]]&amp;"_"&amp;Requirment[[#This Row],[Nb phasis]]</f>
        <v>__</v>
      </c>
      <c r="C56" s="96"/>
      <c r="D56" s="96"/>
      <c r="E56" s="97"/>
      <c r="F56" s="98"/>
      <c r="G56" s="97"/>
      <c r="H56" s="96"/>
      <c r="I56" s="97"/>
      <c r="J56" s="93"/>
      <c r="K56" s="93"/>
      <c r="L56" s="93"/>
      <c r="M56" s="93"/>
      <c r="N56" s="93"/>
      <c r="O56" s="93"/>
      <c r="P56" s="93"/>
      <c r="Q56" s="94"/>
      <c r="R56" s="93"/>
      <c r="S56" s="94"/>
      <c r="T56" s="93"/>
      <c r="U56" s="94"/>
      <c r="V56" s="93"/>
      <c r="W56" s="94"/>
      <c r="X56" s="93"/>
      <c r="Y56" s="94"/>
      <c r="Z56" s="93"/>
      <c r="AA56" s="93"/>
      <c r="AB56" s="93"/>
      <c r="AC56" s="93"/>
      <c r="AD56" s="93"/>
      <c r="AE56" s="93"/>
      <c r="AF56" s="93"/>
      <c r="AG56" s="93"/>
      <c r="AH56" s="94"/>
      <c r="AI56" s="93"/>
      <c r="AJ56" s="94"/>
      <c r="AK56" s="94"/>
      <c r="AL56" s="94"/>
      <c r="AM56" s="94"/>
      <c r="AN56" s="94"/>
      <c r="AO56" s="94"/>
      <c r="AP56" s="94"/>
      <c r="AQ56" s="94"/>
      <c r="AR56" s="86"/>
    </row>
    <row r="57" spans="1:44" x14ac:dyDescent="0.25">
      <c r="A57" s="96" t="str">
        <f>Requirment[[#This Row],[Production]]&amp;"_"&amp;Requirment[[#This Row],[Scenarios ]]&amp;"_"&amp;Requirment[[#This Row],[Nb phasis]]&amp;"_"&amp;Requirment[[#This Row],[Formula_Name]]</f>
        <v>___</v>
      </c>
      <c r="B57" s="102" t="str">
        <f>Requirment[[#This Row],[Production]]&amp;"_"&amp;Requirment[[#This Row],[Scenarios ]]&amp;"_"&amp;Requirment[[#This Row],[Nb phasis]]</f>
        <v>__</v>
      </c>
      <c r="C57" s="96"/>
      <c r="D57" s="96"/>
      <c r="E57" s="97"/>
      <c r="F57" s="98"/>
      <c r="G57" s="97"/>
      <c r="H57" s="96"/>
      <c r="I57" s="97"/>
      <c r="J57" s="93"/>
      <c r="K57" s="93"/>
      <c r="L57" s="93"/>
      <c r="M57" s="93"/>
      <c r="N57" s="93"/>
      <c r="O57" s="93"/>
      <c r="P57" s="93"/>
      <c r="Q57" s="94"/>
      <c r="R57" s="93"/>
      <c r="S57" s="94"/>
      <c r="T57" s="93"/>
      <c r="U57" s="94"/>
      <c r="V57" s="93"/>
      <c r="W57" s="94"/>
      <c r="X57" s="93"/>
      <c r="Y57" s="94"/>
      <c r="Z57" s="93"/>
      <c r="AA57" s="93"/>
      <c r="AB57" s="93"/>
      <c r="AC57" s="93"/>
      <c r="AD57" s="93"/>
      <c r="AE57" s="93"/>
      <c r="AF57" s="93"/>
      <c r="AG57" s="93"/>
      <c r="AH57" s="94"/>
      <c r="AI57" s="93"/>
      <c r="AJ57" s="94"/>
      <c r="AK57" s="94"/>
      <c r="AL57" s="94"/>
      <c r="AM57" s="94"/>
      <c r="AN57" s="94"/>
      <c r="AO57" s="94"/>
      <c r="AP57" s="94"/>
      <c r="AQ57" s="94"/>
      <c r="AR57" s="86"/>
    </row>
    <row r="58" spans="1:44" x14ac:dyDescent="0.25">
      <c r="A58" s="96" t="str">
        <f>Requirment[[#This Row],[Production]]&amp;"_"&amp;Requirment[[#This Row],[Scenarios ]]&amp;"_"&amp;Requirment[[#This Row],[Nb phasis]]&amp;"_"&amp;Requirment[[#This Row],[Formula_Name]]</f>
        <v>___</v>
      </c>
      <c r="B58" s="102" t="str">
        <f>Requirment[[#This Row],[Production]]&amp;"_"&amp;Requirment[[#This Row],[Scenarios ]]&amp;"_"&amp;Requirment[[#This Row],[Nb phasis]]</f>
        <v>__</v>
      </c>
      <c r="C58" s="96"/>
      <c r="D58" s="96"/>
      <c r="E58" s="97"/>
      <c r="F58" s="98"/>
      <c r="G58" s="97"/>
      <c r="H58" s="96"/>
      <c r="I58" s="97"/>
      <c r="J58" s="93"/>
      <c r="K58" s="93"/>
      <c r="L58" s="93"/>
      <c r="M58" s="93"/>
      <c r="N58" s="93"/>
      <c r="O58" s="93"/>
      <c r="P58" s="93"/>
      <c r="Q58" s="94"/>
      <c r="R58" s="93"/>
      <c r="S58" s="94"/>
      <c r="T58" s="93"/>
      <c r="U58" s="94"/>
      <c r="V58" s="93"/>
      <c r="W58" s="94"/>
      <c r="X58" s="93"/>
      <c r="Y58" s="94"/>
      <c r="Z58" s="93"/>
      <c r="AA58" s="93"/>
      <c r="AB58" s="93"/>
      <c r="AC58" s="93"/>
      <c r="AD58" s="93"/>
      <c r="AE58" s="93"/>
      <c r="AF58" s="93"/>
      <c r="AG58" s="93"/>
      <c r="AH58" s="94"/>
      <c r="AI58" s="93"/>
      <c r="AJ58" s="94"/>
      <c r="AK58" s="94"/>
      <c r="AL58" s="94"/>
      <c r="AM58" s="94"/>
      <c r="AN58" s="94"/>
      <c r="AO58" s="94"/>
      <c r="AP58" s="94"/>
      <c r="AQ58" s="94"/>
      <c r="AR58" s="86"/>
    </row>
    <row r="59" spans="1:44" x14ac:dyDescent="0.25">
      <c r="A59" s="96" t="str">
        <f>Requirment[[#This Row],[Production]]&amp;"_"&amp;Requirment[[#This Row],[Scenarios ]]&amp;"_"&amp;Requirment[[#This Row],[Nb phasis]]&amp;"_"&amp;Requirment[[#This Row],[Formula_Name]]</f>
        <v>___</v>
      </c>
      <c r="B59" s="102" t="str">
        <f>Requirment[[#This Row],[Production]]&amp;"_"&amp;Requirment[[#This Row],[Scenarios ]]&amp;"_"&amp;Requirment[[#This Row],[Nb phasis]]</f>
        <v>__</v>
      </c>
      <c r="C59" s="96"/>
      <c r="D59" s="96"/>
      <c r="E59" s="97"/>
      <c r="F59" s="98"/>
      <c r="G59" s="97"/>
      <c r="H59" s="96"/>
      <c r="I59" s="97"/>
      <c r="J59" s="93"/>
      <c r="K59" s="93"/>
      <c r="L59" s="93"/>
      <c r="M59" s="93"/>
      <c r="N59" s="93"/>
      <c r="O59" s="93"/>
      <c r="P59" s="93"/>
      <c r="Q59" s="94"/>
      <c r="R59" s="93"/>
      <c r="S59" s="94"/>
      <c r="T59" s="93"/>
      <c r="U59" s="94"/>
      <c r="V59" s="93"/>
      <c r="W59" s="94"/>
      <c r="X59" s="93"/>
      <c r="Y59" s="94"/>
      <c r="Z59" s="93"/>
      <c r="AA59" s="93"/>
      <c r="AB59" s="93"/>
      <c r="AC59" s="93"/>
      <c r="AD59" s="93"/>
      <c r="AE59" s="93"/>
      <c r="AF59" s="93"/>
      <c r="AG59" s="93"/>
      <c r="AH59" s="94"/>
      <c r="AI59" s="93"/>
      <c r="AJ59" s="94"/>
      <c r="AK59" s="94"/>
      <c r="AL59" s="94"/>
      <c r="AM59" s="94"/>
      <c r="AN59" s="94"/>
      <c r="AO59" s="94"/>
      <c r="AP59" s="94"/>
      <c r="AQ59" s="94"/>
      <c r="AR59" s="86"/>
    </row>
    <row r="60" spans="1:44" x14ac:dyDescent="0.25">
      <c r="A60" s="96" t="str">
        <f>Requirment[[#This Row],[Production]]&amp;"_"&amp;Requirment[[#This Row],[Scenarios ]]&amp;"_"&amp;Requirment[[#This Row],[Nb phasis]]&amp;"_"&amp;Requirment[[#This Row],[Formula_Name]]</f>
        <v>___</v>
      </c>
      <c r="B60" s="102" t="str">
        <f>Requirment[[#This Row],[Production]]&amp;"_"&amp;Requirment[[#This Row],[Scenarios ]]&amp;"_"&amp;Requirment[[#This Row],[Nb phasis]]</f>
        <v>__</v>
      </c>
      <c r="C60" s="96"/>
      <c r="D60" s="96"/>
      <c r="E60" s="97"/>
      <c r="F60" s="98"/>
      <c r="G60" s="97"/>
      <c r="H60" s="96"/>
      <c r="I60" s="97"/>
      <c r="J60" s="93"/>
      <c r="K60" s="93"/>
      <c r="L60" s="93"/>
      <c r="M60" s="93"/>
      <c r="N60" s="93"/>
      <c r="O60" s="93"/>
      <c r="P60" s="93"/>
      <c r="Q60" s="94"/>
      <c r="R60" s="93"/>
      <c r="S60" s="94"/>
      <c r="T60" s="93"/>
      <c r="U60" s="94"/>
      <c r="V60" s="93"/>
      <c r="W60" s="94"/>
      <c r="X60" s="93"/>
      <c r="Y60" s="94"/>
      <c r="Z60" s="93"/>
      <c r="AA60" s="93"/>
      <c r="AB60" s="93"/>
      <c r="AC60" s="93"/>
      <c r="AD60" s="93"/>
      <c r="AE60" s="93"/>
      <c r="AF60" s="93"/>
      <c r="AG60" s="93"/>
      <c r="AH60" s="94"/>
      <c r="AI60" s="93"/>
      <c r="AJ60" s="94"/>
      <c r="AK60" s="94"/>
      <c r="AL60" s="94"/>
      <c r="AM60" s="94"/>
      <c r="AN60" s="94"/>
      <c r="AO60" s="94"/>
      <c r="AP60" s="94"/>
      <c r="AQ60" s="94"/>
      <c r="AR60" s="86"/>
    </row>
    <row r="61" spans="1:44" x14ac:dyDescent="0.25">
      <c r="A61" s="96" t="str">
        <f>Requirment[[#This Row],[Production]]&amp;"_"&amp;Requirment[[#This Row],[Scenarios ]]&amp;"_"&amp;Requirment[[#This Row],[Nb phasis]]&amp;"_"&amp;Requirment[[#This Row],[Formula_Name]]</f>
        <v>___</v>
      </c>
      <c r="B61" s="102" t="str">
        <f>Requirment[[#This Row],[Production]]&amp;"_"&amp;Requirment[[#This Row],[Scenarios ]]&amp;"_"&amp;Requirment[[#This Row],[Nb phasis]]</f>
        <v>__</v>
      </c>
      <c r="C61" s="96"/>
      <c r="D61" s="96"/>
      <c r="E61" s="97"/>
      <c r="F61" s="98"/>
      <c r="G61" s="97"/>
      <c r="H61" s="96"/>
      <c r="I61" s="97"/>
      <c r="J61" s="93"/>
      <c r="K61" s="93"/>
      <c r="L61" s="93"/>
      <c r="M61" s="93"/>
      <c r="N61" s="93"/>
      <c r="O61" s="93"/>
      <c r="P61" s="93"/>
      <c r="Q61" s="94"/>
      <c r="R61" s="93"/>
      <c r="S61" s="94"/>
      <c r="T61" s="93"/>
      <c r="U61" s="94"/>
      <c r="V61" s="93"/>
      <c r="W61" s="94"/>
      <c r="X61" s="93"/>
      <c r="Y61" s="94"/>
      <c r="Z61" s="93"/>
      <c r="AA61" s="93"/>
      <c r="AB61" s="93"/>
      <c r="AC61" s="93"/>
      <c r="AD61" s="93"/>
      <c r="AE61" s="93"/>
      <c r="AF61" s="93"/>
      <c r="AG61" s="93"/>
      <c r="AH61" s="94"/>
      <c r="AI61" s="93"/>
      <c r="AJ61" s="94"/>
      <c r="AK61" s="94"/>
      <c r="AL61" s="94"/>
      <c r="AM61" s="94"/>
      <c r="AN61" s="94"/>
      <c r="AO61" s="94"/>
      <c r="AP61" s="94"/>
      <c r="AQ61" s="94"/>
      <c r="AR61" s="86"/>
    </row>
    <row r="62" spans="1:44" x14ac:dyDescent="0.25">
      <c r="A62" s="96" t="str">
        <f>Requirment[[#This Row],[Production]]&amp;"_"&amp;Requirment[[#This Row],[Scenarios ]]&amp;"_"&amp;Requirment[[#This Row],[Nb phasis]]&amp;"_"&amp;Requirment[[#This Row],[Formula_Name]]</f>
        <v>___</v>
      </c>
      <c r="B62" s="102" t="str">
        <f>Requirment[[#This Row],[Production]]&amp;"_"&amp;Requirment[[#This Row],[Scenarios ]]&amp;"_"&amp;Requirment[[#This Row],[Nb phasis]]</f>
        <v>__</v>
      </c>
      <c r="C62" s="96"/>
      <c r="D62" s="96"/>
      <c r="E62" s="97"/>
      <c r="F62" s="98"/>
      <c r="G62" s="97"/>
      <c r="H62" s="96"/>
      <c r="I62" s="97"/>
      <c r="J62" s="93"/>
      <c r="K62" s="93"/>
      <c r="L62" s="93"/>
      <c r="M62" s="93"/>
      <c r="N62" s="93"/>
      <c r="O62" s="93"/>
      <c r="P62" s="93"/>
      <c r="Q62" s="94"/>
      <c r="R62" s="93"/>
      <c r="S62" s="94"/>
      <c r="T62" s="93"/>
      <c r="U62" s="94"/>
      <c r="V62" s="93"/>
      <c r="W62" s="94"/>
      <c r="X62" s="93"/>
      <c r="Y62" s="94"/>
      <c r="Z62" s="93"/>
      <c r="AA62" s="93"/>
      <c r="AB62" s="93"/>
      <c r="AC62" s="93"/>
      <c r="AD62" s="93"/>
      <c r="AE62" s="93"/>
      <c r="AF62" s="93"/>
      <c r="AG62" s="93"/>
      <c r="AH62" s="94"/>
      <c r="AI62" s="93"/>
      <c r="AJ62" s="94"/>
      <c r="AK62" s="94"/>
      <c r="AL62" s="94"/>
      <c r="AM62" s="94"/>
      <c r="AN62" s="94"/>
      <c r="AO62" s="94"/>
      <c r="AP62" s="94"/>
      <c r="AQ62" s="94"/>
      <c r="AR62" s="86"/>
    </row>
    <row r="63" spans="1:44" x14ac:dyDescent="0.25">
      <c r="A63" s="96" t="str">
        <f>Requirment[[#This Row],[Production]]&amp;"_"&amp;Requirment[[#This Row],[Scenarios ]]&amp;"_"&amp;Requirment[[#This Row],[Nb phasis]]&amp;"_"&amp;Requirment[[#This Row],[Formula_Name]]</f>
        <v>___</v>
      </c>
      <c r="B63" s="102" t="str">
        <f>Requirment[[#This Row],[Production]]&amp;"_"&amp;Requirment[[#This Row],[Scenarios ]]&amp;"_"&amp;Requirment[[#This Row],[Nb phasis]]</f>
        <v>__</v>
      </c>
      <c r="C63" s="96"/>
      <c r="D63" s="96"/>
      <c r="E63" s="97"/>
      <c r="F63" s="98"/>
      <c r="G63" s="97"/>
      <c r="H63" s="96"/>
      <c r="I63" s="97"/>
      <c r="J63" s="93"/>
      <c r="K63" s="93"/>
      <c r="L63" s="93"/>
      <c r="M63" s="93"/>
      <c r="N63" s="93"/>
      <c r="O63" s="93"/>
      <c r="P63" s="93"/>
      <c r="Q63" s="94"/>
      <c r="R63" s="93"/>
      <c r="S63" s="94"/>
      <c r="T63" s="93"/>
      <c r="U63" s="94"/>
      <c r="V63" s="93"/>
      <c r="W63" s="94"/>
      <c r="X63" s="93"/>
      <c r="Y63" s="94"/>
      <c r="Z63" s="93"/>
      <c r="AA63" s="93"/>
      <c r="AB63" s="93"/>
      <c r="AC63" s="93"/>
      <c r="AD63" s="93"/>
      <c r="AE63" s="93"/>
      <c r="AF63" s="93"/>
      <c r="AG63" s="93"/>
      <c r="AH63" s="94"/>
      <c r="AI63" s="93"/>
      <c r="AJ63" s="94"/>
      <c r="AK63" s="94"/>
      <c r="AL63" s="94"/>
      <c r="AM63" s="94"/>
      <c r="AN63" s="94"/>
      <c r="AO63" s="94"/>
      <c r="AP63" s="94"/>
      <c r="AQ63" s="94"/>
      <c r="AR63" s="86"/>
    </row>
    <row r="64" spans="1:44" x14ac:dyDescent="0.25">
      <c r="A64" s="96" t="str">
        <f>Requirment[[#This Row],[Production]]&amp;"_"&amp;Requirment[[#This Row],[Scenarios ]]&amp;"_"&amp;Requirment[[#This Row],[Nb phasis]]&amp;"_"&amp;Requirment[[#This Row],[Formula_Name]]</f>
        <v>___</v>
      </c>
      <c r="B64" s="102" t="str">
        <f>Requirment[[#This Row],[Production]]&amp;"_"&amp;Requirment[[#This Row],[Scenarios ]]&amp;"_"&amp;Requirment[[#This Row],[Nb phasis]]</f>
        <v>__</v>
      </c>
      <c r="C64" s="96"/>
      <c r="D64" s="96"/>
      <c r="E64" s="97"/>
      <c r="F64" s="98"/>
      <c r="G64" s="97"/>
      <c r="H64" s="96"/>
      <c r="I64" s="97"/>
      <c r="J64" s="93"/>
      <c r="K64" s="93"/>
      <c r="L64" s="93"/>
      <c r="M64" s="93"/>
      <c r="N64" s="93"/>
      <c r="O64" s="93"/>
      <c r="P64" s="93"/>
      <c r="Q64" s="94"/>
      <c r="R64" s="93"/>
      <c r="S64" s="94"/>
      <c r="T64" s="93"/>
      <c r="U64" s="94"/>
      <c r="V64" s="93"/>
      <c r="W64" s="94"/>
      <c r="X64" s="93"/>
      <c r="Y64" s="94"/>
      <c r="Z64" s="93"/>
      <c r="AA64" s="93"/>
      <c r="AB64" s="93"/>
      <c r="AC64" s="93"/>
      <c r="AD64" s="93"/>
      <c r="AE64" s="93"/>
      <c r="AF64" s="93"/>
      <c r="AG64" s="93"/>
      <c r="AH64" s="94"/>
      <c r="AI64" s="93"/>
      <c r="AJ64" s="94"/>
      <c r="AK64" s="94"/>
      <c r="AL64" s="94"/>
      <c r="AM64" s="94"/>
      <c r="AN64" s="94"/>
      <c r="AO64" s="94"/>
      <c r="AP64" s="94"/>
      <c r="AQ64" s="94"/>
      <c r="AR64" s="86"/>
    </row>
    <row r="65" spans="1:44" x14ac:dyDescent="0.25">
      <c r="A65" s="96" t="str">
        <f>Requirment[[#This Row],[Production]]&amp;"_"&amp;Requirment[[#This Row],[Scenarios ]]&amp;"_"&amp;Requirment[[#This Row],[Nb phasis]]&amp;"_"&amp;Requirment[[#This Row],[Formula_Name]]</f>
        <v>___</v>
      </c>
      <c r="B65" s="102" t="str">
        <f>Requirment[[#This Row],[Production]]&amp;"_"&amp;Requirment[[#This Row],[Scenarios ]]&amp;"_"&amp;Requirment[[#This Row],[Nb phasis]]</f>
        <v>__</v>
      </c>
      <c r="C65" s="96"/>
      <c r="D65" s="96"/>
      <c r="E65" s="97"/>
      <c r="F65" s="98"/>
      <c r="G65" s="97"/>
      <c r="H65" s="96"/>
      <c r="I65" s="97"/>
      <c r="J65" s="93"/>
      <c r="K65" s="93"/>
      <c r="L65" s="93"/>
      <c r="M65" s="93"/>
      <c r="N65" s="93"/>
      <c r="O65" s="93"/>
      <c r="P65" s="93"/>
      <c r="Q65" s="94"/>
      <c r="R65" s="93"/>
      <c r="S65" s="94"/>
      <c r="T65" s="93"/>
      <c r="U65" s="94"/>
      <c r="V65" s="93"/>
      <c r="W65" s="94"/>
      <c r="X65" s="93"/>
      <c r="Y65" s="94"/>
      <c r="Z65" s="93"/>
      <c r="AA65" s="93"/>
      <c r="AB65" s="93"/>
      <c r="AC65" s="93"/>
      <c r="AD65" s="93"/>
      <c r="AE65" s="93"/>
      <c r="AF65" s="93"/>
      <c r="AG65" s="93"/>
      <c r="AH65" s="94"/>
      <c r="AI65" s="93"/>
      <c r="AJ65" s="94"/>
      <c r="AK65" s="94"/>
      <c r="AL65" s="94"/>
      <c r="AM65" s="94"/>
      <c r="AN65" s="94"/>
      <c r="AO65" s="94"/>
      <c r="AP65" s="94"/>
      <c r="AQ65" s="94"/>
      <c r="AR65" s="86"/>
    </row>
    <row r="66" spans="1:44" x14ac:dyDescent="0.25">
      <c r="A66" s="96" t="str">
        <f>Requirment[[#This Row],[Production]]&amp;"_"&amp;Requirment[[#This Row],[Scenarios ]]&amp;"_"&amp;Requirment[[#This Row],[Nb phasis]]&amp;"_"&amp;Requirment[[#This Row],[Formula_Name]]</f>
        <v>___</v>
      </c>
      <c r="B66" s="102" t="str">
        <f>Requirment[[#This Row],[Production]]&amp;"_"&amp;Requirment[[#This Row],[Scenarios ]]&amp;"_"&amp;Requirment[[#This Row],[Nb phasis]]</f>
        <v>__</v>
      </c>
      <c r="C66" s="96"/>
      <c r="D66" s="96"/>
      <c r="E66" s="97"/>
      <c r="F66" s="98"/>
      <c r="G66" s="97"/>
      <c r="H66" s="96"/>
      <c r="I66" s="97"/>
      <c r="J66" s="93"/>
      <c r="K66" s="93"/>
      <c r="L66" s="93"/>
      <c r="M66" s="93"/>
      <c r="N66" s="93"/>
      <c r="O66" s="93"/>
      <c r="P66" s="93"/>
      <c r="Q66" s="94"/>
      <c r="R66" s="93"/>
      <c r="S66" s="94"/>
      <c r="T66" s="93"/>
      <c r="U66" s="94"/>
      <c r="V66" s="93"/>
      <c r="W66" s="94"/>
      <c r="X66" s="93"/>
      <c r="Y66" s="94"/>
      <c r="Z66" s="93"/>
      <c r="AA66" s="93"/>
      <c r="AB66" s="93"/>
      <c r="AC66" s="93"/>
      <c r="AD66" s="93"/>
      <c r="AE66" s="93"/>
      <c r="AF66" s="93"/>
      <c r="AG66" s="93"/>
      <c r="AH66" s="94"/>
      <c r="AI66" s="93"/>
      <c r="AJ66" s="94"/>
      <c r="AK66" s="94"/>
      <c r="AL66" s="94"/>
      <c r="AM66" s="94"/>
      <c r="AN66" s="94"/>
      <c r="AO66" s="94"/>
      <c r="AP66" s="94"/>
      <c r="AQ66" s="94"/>
      <c r="AR66" s="86"/>
    </row>
    <row r="67" spans="1:44" x14ac:dyDescent="0.25">
      <c r="A67" s="96" t="str">
        <f>Requirment[[#This Row],[Production]]&amp;"_"&amp;Requirment[[#This Row],[Scenarios ]]&amp;"_"&amp;Requirment[[#This Row],[Nb phasis]]&amp;"_"&amp;Requirment[[#This Row],[Formula_Name]]</f>
        <v>___</v>
      </c>
      <c r="B67" s="102" t="str">
        <f>Requirment[[#This Row],[Production]]&amp;"_"&amp;Requirment[[#This Row],[Scenarios ]]&amp;"_"&amp;Requirment[[#This Row],[Nb phasis]]</f>
        <v>__</v>
      </c>
      <c r="C67" s="96"/>
      <c r="D67" s="96"/>
      <c r="E67" s="97"/>
      <c r="F67" s="98"/>
      <c r="G67" s="97"/>
      <c r="H67" s="96"/>
      <c r="I67" s="97"/>
      <c r="J67" s="93"/>
      <c r="K67" s="93"/>
      <c r="L67" s="93"/>
      <c r="M67" s="93"/>
      <c r="N67" s="93"/>
      <c r="O67" s="93"/>
      <c r="P67" s="93"/>
      <c r="Q67" s="94"/>
      <c r="R67" s="93"/>
      <c r="S67" s="94"/>
      <c r="T67" s="93"/>
      <c r="U67" s="94"/>
      <c r="V67" s="93"/>
      <c r="W67" s="94"/>
      <c r="X67" s="93"/>
      <c r="Y67" s="94"/>
      <c r="Z67" s="93"/>
      <c r="AA67" s="93"/>
      <c r="AB67" s="93"/>
      <c r="AC67" s="93"/>
      <c r="AD67" s="93"/>
      <c r="AE67" s="93"/>
      <c r="AF67" s="93"/>
      <c r="AG67" s="93"/>
      <c r="AH67" s="94"/>
      <c r="AI67" s="93"/>
      <c r="AJ67" s="94"/>
      <c r="AK67" s="94"/>
      <c r="AL67" s="94"/>
      <c r="AM67" s="94"/>
      <c r="AN67" s="94"/>
      <c r="AO67" s="94"/>
      <c r="AP67" s="94"/>
      <c r="AQ67" s="94"/>
      <c r="AR67" s="86"/>
    </row>
    <row r="68" spans="1:44" x14ac:dyDescent="0.25">
      <c r="A68" s="96" t="str">
        <f>Requirment[[#This Row],[Production]]&amp;"_"&amp;Requirment[[#This Row],[Scenarios ]]&amp;"_"&amp;Requirment[[#This Row],[Nb phasis]]&amp;"_"&amp;Requirment[[#This Row],[Formula_Name]]</f>
        <v>___</v>
      </c>
      <c r="B68" s="102" t="str">
        <f>Requirment[[#This Row],[Production]]&amp;"_"&amp;Requirment[[#This Row],[Scenarios ]]&amp;"_"&amp;Requirment[[#This Row],[Nb phasis]]</f>
        <v>__</v>
      </c>
      <c r="C68" s="96"/>
      <c r="D68" s="96"/>
      <c r="E68" s="97"/>
      <c r="F68" s="98"/>
      <c r="G68" s="97"/>
      <c r="H68" s="96"/>
      <c r="I68" s="97"/>
      <c r="J68" s="93"/>
      <c r="K68" s="93"/>
      <c r="L68" s="93"/>
      <c r="M68" s="93"/>
      <c r="N68" s="93"/>
      <c r="O68" s="93"/>
      <c r="P68" s="93"/>
      <c r="Q68" s="94"/>
      <c r="R68" s="93"/>
      <c r="S68" s="94"/>
      <c r="T68" s="93"/>
      <c r="U68" s="94"/>
      <c r="V68" s="93"/>
      <c r="W68" s="94"/>
      <c r="X68" s="93"/>
      <c r="Y68" s="94"/>
      <c r="Z68" s="93"/>
      <c r="AA68" s="93"/>
      <c r="AB68" s="93"/>
      <c r="AC68" s="93"/>
      <c r="AD68" s="93"/>
      <c r="AE68" s="93"/>
      <c r="AF68" s="93"/>
      <c r="AG68" s="93"/>
      <c r="AH68" s="94"/>
      <c r="AI68" s="93"/>
      <c r="AJ68" s="94"/>
      <c r="AK68" s="94"/>
      <c r="AL68" s="94"/>
      <c r="AM68" s="94"/>
      <c r="AN68" s="94"/>
      <c r="AO68" s="94"/>
      <c r="AP68" s="94"/>
      <c r="AQ68" s="94"/>
      <c r="AR68" s="86"/>
    </row>
    <row r="69" spans="1:44" x14ac:dyDescent="0.25">
      <c r="A69" s="96" t="str">
        <f>Requirment[[#This Row],[Production]]&amp;"_"&amp;Requirment[[#This Row],[Scenarios ]]&amp;"_"&amp;Requirment[[#This Row],[Nb phasis]]&amp;"_"&amp;Requirment[[#This Row],[Formula_Name]]</f>
        <v>___</v>
      </c>
      <c r="B69" s="102" t="str">
        <f>Requirment[[#This Row],[Production]]&amp;"_"&amp;Requirment[[#This Row],[Scenarios ]]&amp;"_"&amp;Requirment[[#This Row],[Nb phasis]]</f>
        <v>__</v>
      </c>
      <c r="C69" s="96"/>
      <c r="D69" s="96"/>
      <c r="E69" s="97"/>
      <c r="F69" s="98"/>
      <c r="G69" s="97"/>
      <c r="H69" s="96"/>
      <c r="I69" s="97"/>
      <c r="J69" s="93"/>
      <c r="K69" s="93"/>
      <c r="L69" s="93"/>
      <c r="M69" s="93"/>
      <c r="N69" s="93"/>
      <c r="O69" s="93"/>
      <c r="P69" s="93"/>
      <c r="Q69" s="94"/>
      <c r="R69" s="93"/>
      <c r="S69" s="94"/>
      <c r="T69" s="93"/>
      <c r="U69" s="94"/>
      <c r="V69" s="93"/>
      <c r="W69" s="94"/>
      <c r="X69" s="93"/>
      <c r="Y69" s="94"/>
      <c r="Z69" s="93"/>
      <c r="AA69" s="93"/>
      <c r="AB69" s="93"/>
      <c r="AC69" s="93"/>
      <c r="AD69" s="93"/>
      <c r="AE69" s="93"/>
      <c r="AF69" s="93"/>
      <c r="AG69" s="93"/>
      <c r="AH69" s="94"/>
      <c r="AI69" s="93"/>
      <c r="AJ69" s="94"/>
      <c r="AK69" s="94"/>
      <c r="AL69" s="94"/>
      <c r="AM69" s="94"/>
      <c r="AN69" s="94"/>
      <c r="AO69" s="94"/>
      <c r="AP69" s="94"/>
      <c r="AQ69" s="94"/>
      <c r="AR69" s="86"/>
    </row>
    <row r="70" spans="1:44" x14ac:dyDescent="0.25">
      <c r="A70" s="96" t="str">
        <f>Requirment[[#This Row],[Production]]&amp;"_"&amp;Requirment[[#This Row],[Scenarios ]]&amp;"_"&amp;Requirment[[#This Row],[Nb phasis]]&amp;"_"&amp;Requirment[[#This Row],[Formula_Name]]</f>
        <v>___</v>
      </c>
      <c r="B70" s="102" t="str">
        <f>Requirment[[#This Row],[Production]]&amp;"_"&amp;Requirment[[#This Row],[Scenarios ]]&amp;"_"&amp;Requirment[[#This Row],[Nb phasis]]</f>
        <v>__</v>
      </c>
      <c r="C70" s="96"/>
      <c r="D70" s="96"/>
      <c r="E70" s="97"/>
      <c r="F70" s="98"/>
      <c r="G70" s="97"/>
      <c r="H70" s="96"/>
      <c r="I70" s="97"/>
      <c r="J70" s="93"/>
      <c r="K70" s="93"/>
      <c r="L70" s="93"/>
      <c r="M70" s="93"/>
      <c r="N70" s="93"/>
      <c r="O70" s="93"/>
      <c r="P70" s="93"/>
      <c r="Q70" s="94"/>
      <c r="R70" s="93"/>
      <c r="S70" s="94"/>
      <c r="T70" s="93"/>
      <c r="U70" s="94"/>
      <c r="V70" s="93"/>
      <c r="W70" s="94"/>
      <c r="X70" s="93"/>
      <c r="Y70" s="94"/>
      <c r="Z70" s="93"/>
      <c r="AA70" s="93"/>
      <c r="AB70" s="93"/>
      <c r="AC70" s="93"/>
      <c r="AD70" s="93"/>
      <c r="AE70" s="93"/>
      <c r="AF70" s="93"/>
      <c r="AG70" s="93"/>
      <c r="AH70" s="94"/>
      <c r="AI70" s="93"/>
      <c r="AJ70" s="94"/>
      <c r="AK70" s="94"/>
      <c r="AL70" s="94"/>
      <c r="AM70" s="94"/>
      <c r="AN70" s="94"/>
      <c r="AO70" s="94"/>
      <c r="AP70" s="94"/>
      <c r="AQ70" s="94"/>
      <c r="AR70" s="86"/>
    </row>
    <row r="71" spans="1:44" x14ac:dyDescent="0.25">
      <c r="A71" s="96" t="str">
        <f>Requirment[[#This Row],[Production]]&amp;"_"&amp;Requirment[[#This Row],[Scenarios ]]&amp;"_"&amp;Requirment[[#This Row],[Nb phasis]]&amp;"_"&amp;Requirment[[#This Row],[Formula_Name]]</f>
        <v>___</v>
      </c>
      <c r="B71" s="102" t="str">
        <f>Requirment[[#This Row],[Production]]&amp;"_"&amp;Requirment[[#This Row],[Scenarios ]]&amp;"_"&amp;Requirment[[#This Row],[Nb phasis]]</f>
        <v>__</v>
      </c>
      <c r="C71" s="96"/>
      <c r="D71" s="96"/>
      <c r="E71" s="97"/>
      <c r="F71" s="98"/>
      <c r="G71" s="97"/>
      <c r="H71" s="96"/>
      <c r="I71" s="97"/>
      <c r="J71" s="93"/>
      <c r="K71" s="93"/>
      <c r="L71" s="93"/>
      <c r="M71" s="93"/>
      <c r="N71" s="93"/>
      <c r="O71" s="93"/>
      <c r="P71" s="93"/>
      <c r="Q71" s="94"/>
      <c r="R71" s="93"/>
      <c r="S71" s="94"/>
      <c r="T71" s="93"/>
      <c r="U71" s="94"/>
      <c r="V71" s="93"/>
      <c r="W71" s="94"/>
      <c r="X71" s="93"/>
      <c r="Y71" s="94"/>
      <c r="Z71" s="93"/>
      <c r="AA71" s="93"/>
      <c r="AB71" s="93"/>
      <c r="AC71" s="93"/>
      <c r="AD71" s="93"/>
      <c r="AE71" s="93"/>
      <c r="AF71" s="93"/>
      <c r="AG71" s="93"/>
      <c r="AH71" s="94"/>
      <c r="AI71" s="93"/>
      <c r="AJ71" s="94"/>
      <c r="AK71" s="94"/>
      <c r="AL71" s="94"/>
      <c r="AM71" s="94"/>
      <c r="AN71" s="94"/>
      <c r="AO71" s="94"/>
      <c r="AP71" s="94"/>
      <c r="AQ71" s="94"/>
      <c r="AR71" s="86"/>
    </row>
    <row r="72" spans="1:44" x14ac:dyDescent="0.25">
      <c r="A72" s="96" t="str">
        <f>Requirment[[#This Row],[Production]]&amp;"_"&amp;Requirment[[#This Row],[Scenarios ]]&amp;"_"&amp;Requirment[[#This Row],[Nb phasis]]&amp;"_"&amp;Requirment[[#This Row],[Formula_Name]]</f>
        <v>___</v>
      </c>
      <c r="B72" s="102" t="str">
        <f>Requirment[[#This Row],[Production]]&amp;"_"&amp;Requirment[[#This Row],[Scenarios ]]&amp;"_"&amp;Requirment[[#This Row],[Nb phasis]]</f>
        <v>__</v>
      </c>
      <c r="C72" s="96"/>
      <c r="D72" s="96"/>
      <c r="E72" s="97"/>
      <c r="F72" s="98"/>
      <c r="G72" s="97"/>
      <c r="H72" s="96"/>
      <c r="I72" s="97"/>
      <c r="J72" s="93"/>
      <c r="K72" s="93"/>
      <c r="L72" s="93"/>
      <c r="M72" s="93"/>
      <c r="N72" s="93"/>
      <c r="O72" s="93"/>
      <c r="P72" s="93"/>
      <c r="Q72" s="94"/>
      <c r="R72" s="93"/>
      <c r="S72" s="94"/>
      <c r="T72" s="93"/>
      <c r="U72" s="94"/>
      <c r="V72" s="93"/>
      <c r="W72" s="94"/>
      <c r="X72" s="93"/>
      <c r="Y72" s="94"/>
      <c r="Z72" s="93"/>
      <c r="AA72" s="93"/>
      <c r="AB72" s="93"/>
      <c r="AC72" s="93"/>
      <c r="AD72" s="93"/>
      <c r="AE72" s="93"/>
      <c r="AF72" s="93"/>
      <c r="AG72" s="93"/>
      <c r="AH72" s="94"/>
      <c r="AI72" s="93"/>
      <c r="AJ72" s="94"/>
      <c r="AK72" s="94"/>
      <c r="AL72" s="94"/>
      <c r="AM72" s="94"/>
      <c r="AN72" s="94"/>
      <c r="AO72" s="94"/>
      <c r="AP72" s="94"/>
      <c r="AQ72" s="94"/>
      <c r="AR72" s="86"/>
    </row>
    <row r="73" spans="1:44" x14ac:dyDescent="0.25">
      <c r="A73" s="96" t="str">
        <f>Requirment[[#This Row],[Production]]&amp;"_"&amp;Requirment[[#This Row],[Scenarios ]]&amp;"_"&amp;Requirment[[#This Row],[Nb phasis]]&amp;"_"&amp;Requirment[[#This Row],[Formula_Name]]</f>
        <v>___</v>
      </c>
      <c r="B73" s="102" t="str">
        <f>Requirment[[#This Row],[Production]]&amp;"_"&amp;Requirment[[#This Row],[Scenarios ]]&amp;"_"&amp;Requirment[[#This Row],[Nb phasis]]</f>
        <v>__</v>
      </c>
      <c r="C73" s="96"/>
      <c r="D73" s="96"/>
      <c r="E73" s="97"/>
      <c r="F73" s="98"/>
      <c r="G73" s="97"/>
      <c r="H73" s="96"/>
      <c r="I73" s="97"/>
      <c r="J73" s="93"/>
      <c r="K73" s="93"/>
      <c r="L73" s="93"/>
      <c r="M73" s="93"/>
      <c r="N73" s="93"/>
      <c r="O73" s="93"/>
      <c r="P73" s="93"/>
      <c r="Q73" s="94"/>
      <c r="R73" s="93"/>
      <c r="S73" s="94"/>
      <c r="T73" s="93"/>
      <c r="U73" s="94"/>
      <c r="V73" s="93"/>
      <c r="W73" s="94"/>
      <c r="X73" s="93"/>
      <c r="Y73" s="94"/>
      <c r="Z73" s="93"/>
      <c r="AA73" s="93"/>
      <c r="AB73" s="93"/>
      <c r="AC73" s="93"/>
      <c r="AD73" s="93"/>
      <c r="AE73" s="93"/>
      <c r="AF73" s="93"/>
      <c r="AG73" s="93"/>
      <c r="AH73" s="94"/>
      <c r="AI73" s="93"/>
      <c r="AJ73" s="94"/>
      <c r="AK73" s="94"/>
      <c r="AL73" s="94"/>
      <c r="AM73" s="94"/>
      <c r="AN73" s="94"/>
      <c r="AO73" s="94"/>
      <c r="AP73" s="94"/>
      <c r="AQ73" s="94"/>
      <c r="AR73" s="86"/>
    </row>
    <row r="74" spans="1:44" x14ac:dyDescent="0.25">
      <c r="A74" s="96" t="str">
        <f>Requirment[[#This Row],[Production]]&amp;"_"&amp;Requirment[[#This Row],[Scenarios ]]&amp;"_"&amp;Requirment[[#This Row],[Nb phasis]]&amp;"_"&amp;Requirment[[#This Row],[Formula_Name]]</f>
        <v>___</v>
      </c>
      <c r="B74" s="102" t="str">
        <f>Requirment[[#This Row],[Production]]&amp;"_"&amp;Requirment[[#This Row],[Scenarios ]]&amp;"_"&amp;Requirment[[#This Row],[Nb phasis]]</f>
        <v>__</v>
      </c>
      <c r="C74" s="96"/>
      <c r="D74" s="96"/>
      <c r="E74" s="97"/>
      <c r="F74" s="98"/>
      <c r="G74" s="97"/>
      <c r="H74" s="96"/>
      <c r="I74" s="97"/>
      <c r="J74" s="93"/>
      <c r="K74" s="93"/>
      <c r="L74" s="93"/>
      <c r="M74" s="93"/>
      <c r="N74" s="93"/>
      <c r="O74" s="93"/>
      <c r="P74" s="93"/>
      <c r="Q74" s="94"/>
      <c r="R74" s="93"/>
      <c r="S74" s="94"/>
      <c r="T74" s="93"/>
      <c r="U74" s="94"/>
      <c r="V74" s="93"/>
      <c r="W74" s="94"/>
      <c r="X74" s="93"/>
      <c r="Y74" s="94"/>
      <c r="Z74" s="93"/>
      <c r="AA74" s="93"/>
      <c r="AB74" s="93"/>
      <c r="AC74" s="93"/>
      <c r="AD74" s="93"/>
      <c r="AE74" s="93"/>
      <c r="AF74" s="93"/>
      <c r="AG74" s="93"/>
      <c r="AH74" s="94"/>
      <c r="AI74" s="93"/>
      <c r="AJ74" s="94"/>
      <c r="AK74" s="94"/>
      <c r="AL74" s="94"/>
      <c r="AM74" s="94"/>
      <c r="AN74" s="94"/>
      <c r="AO74" s="94"/>
      <c r="AP74" s="94"/>
      <c r="AQ74" s="94"/>
      <c r="AR74" s="86"/>
    </row>
    <row r="75" spans="1:44" x14ac:dyDescent="0.25">
      <c r="A75" s="96" t="str">
        <f>Requirment[[#This Row],[Production]]&amp;"_"&amp;Requirment[[#This Row],[Scenarios ]]&amp;"_"&amp;Requirment[[#This Row],[Nb phasis]]&amp;"_"&amp;Requirment[[#This Row],[Formula_Name]]</f>
        <v>___</v>
      </c>
      <c r="B75" s="102" t="str">
        <f>Requirment[[#This Row],[Production]]&amp;"_"&amp;Requirment[[#This Row],[Scenarios ]]&amp;"_"&amp;Requirment[[#This Row],[Nb phasis]]</f>
        <v>__</v>
      </c>
      <c r="C75" s="96"/>
      <c r="D75" s="96"/>
      <c r="E75" s="97"/>
      <c r="F75" s="98"/>
      <c r="G75" s="97"/>
      <c r="H75" s="96"/>
      <c r="I75" s="97"/>
      <c r="J75" s="93"/>
      <c r="K75" s="93"/>
      <c r="L75" s="93"/>
      <c r="M75" s="93"/>
      <c r="N75" s="93"/>
      <c r="O75" s="93"/>
      <c r="P75" s="93"/>
      <c r="Q75" s="94"/>
      <c r="R75" s="93"/>
      <c r="S75" s="94"/>
      <c r="T75" s="93"/>
      <c r="U75" s="94"/>
      <c r="V75" s="93"/>
      <c r="W75" s="94"/>
      <c r="X75" s="93"/>
      <c r="Y75" s="94"/>
      <c r="Z75" s="93"/>
      <c r="AA75" s="93"/>
      <c r="AB75" s="93"/>
      <c r="AC75" s="93"/>
      <c r="AD75" s="93"/>
      <c r="AE75" s="93"/>
      <c r="AF75" s="93"/>
      <c r="AG75" s="93"/>
      <c r="AH75" s="94"/>
      <c r="AI75" s="93"/>
      <c r="AJ75" s="94"/>
      <c r="AK75" s="94"/>
      <c r="AL75" s="94"/>
      <c r="AM75" s="94"/>
      <c r="AN75" s="94"/>
      <c r="AO75" s="94"/>
      <c r="AP75" s="94"/>
      <c r="AQ75" s="94"/>
      <c r="AR75" s="86"/>
    </row>
    <row r="76" spans="1:44" x14ac:dyDescent="0.25">
      <c r="A76" s="96" t="str">
        <f>Requirment[[#This Row],[Production]]&amp;"_"&amp;Requirment[[#This Row],[Scenarios ]]&amp;"_"&amp;Requirment[[#This Row],[Nb phasis]]&amp;"_"&amp;Requirment[[#This Row],[Formula_Name]]</f>
        <v>___</v>
      </c>
      <c r="B76" s="102" t="str">
        <f>Requirment[[#This Row],[Production]]&amp;"_"&amp;Requirment[[#This Row],[Scenarios ]]&amp;"_"&amp;Requirment[[#This Row],[Nb phasis]]</f>
        <v>__</v>
      </c>
      <c r="C76" s="96"/>
      <c r="D76" s="96"/>
      <c r="E76" s="97"/>
      <c r="F76" s="98"/>
      <c r="G76" s="97"/>
      <c r="H76" s="96"/>
      <c r="I76" s="97"/>
      <c r="J76" s="93"/>
      <c r="K76" s="93"/>
      <c r="L76" s="93"/>
      <c r="M76" s="93"/>
      <c r="N76" s="93"/>
      <c r="O76" s="93"/>
      <c r="P76" s="93"/>
      <c r="Q76" s="94"/>
      <c r="R76" s="93"/>
      <c r="S76" s="94"/>
      <c r="T76" s="93"/>
      <c r="U76" s="94"/>
      <c r="V76" s="93"/>
      <c r="W76" s="94"/>
      <c r="X76" s="93"/>
      <c r="Y76" s="94"/>
      <c r="Z76" s="93"/>
      <c r="AA76" s="93"/>
      <c r="AB76" s="93"/>
      <c r="AC76" s="93"/>
      <c r="AD76" s="93"/>
      <c r="AE76" s="93"/>
      <c r="AF76" s="93"/>
      <c r="AG76" s="93"/>
      <c r="AH76" s="94"/>
      <c r="AI76" s="93"/>
      <c r="AJ76" s="94"/>
      <c r="AK76" s="94"/>
      <c r="AL76" s="94"/>
      <c r="AM76" s="94"/>
      <c r="AN76" s="94"/>
      <c r="AO76" s="94"/>
      <c r="AP76" s="94"/>
      <c r="AQ76" s="94"/>
      <c r="AR76" s="86"/>
    </row>
    <row r="77" spans="1:44" x14ac:dyDescent="0.25">
      <c r="A77" s="96" t="str">
        <f>Requirment[[#This Row],[Production]]&amp;"_"&amp;Requirment[[#This Row],[Scenarios ]]&amp;"_"&amp;Requirment[[#This Row],[Nb phasis]]&amp;"_"&amp;Requirment[[#This Row],[Formula_Name]]</f>
        <v>___</v>
      </c>
      <c r="B77" s="102" t="str">
        <f>Requirment[[#This Row],[Production]]&amp;"_"&amp;Requirment[[#This Row],[Scenarios ]]&amp;"_"&amp;Requirment[[#This Row],[Nb phasis]]</f>
        <v>__</v>
      </c>
      <c r="C77" s="96"/>
      <c r="D77" s="96"/>
      <c r="E77" s="97"/>
      <c r="F77" s="98"/>
      <c r="G77" s="97"/>
      <c r="H77" s="96"/>
      <c r="I77" s="97"/>
      <c r="J77" s="93"/>
      <c r="K77" s="93"/>
      <c r="L77" s="93"/>
      <c r="M77" s="93"/>
      <c r="N77" s="93"/>
      <c r="O77" s="93"/>
      <c r="P77" s="93"/>
      <c r="Q77" s="94"/>
      <c r="R77" s="93"/>
      <c r="S77" s="94"/>
      <c r="T77" s="93"/>
      <c r="U77" s="94"/>
      <c r="V77" s="93"/>
      <c r="W77" s="94"/>
      <c r="X77" s="93"/>
      <c r="Y77" s="94"/>
      <c r="Z77" s="93"/>
      <c r="AA77" s="93"/>
      <c r="AB77" s="93"/>
      <c r="AC77" s="93"/>
      <c r="AD77" s="93"/>
      <c r="AE77" s="93"/>
      <c r="AF77" s="93"/>
      <c r="AG77" s="93"/>
      <c r="AH77" s="94"/>
      <c r="AI77" s="93"/>
      <c r="AJ77" s="94"/>
      <c r="AK77" s="94"/>
      <c r="AL77" s="94"/>
      <c r="AM77" s="94"/>
      <c r="AN77" s="94"/>
      <c r="AO77" s="94"/>
      <c r="AP77" s="94"/>
      <c r="AQ77" s="94"/>
      <c r="AR77" s="86"/>
    </row>
    <row r="78" spans="1:44" x14ac:dyDescent="0.25">
      <c r="A78" s="96" t="str">
        <f>Requirment[[#This Row],[Production]]&amp;"_"&amp;Requirment[[#This Row],[Scenarios ]]&amp;"_"&amp;Requirment[[#This Row],[Nb phasis]]&amp;"_"&amp;Requirment[[#This Row],[Formula_Name]]</f>
        <v>___</v>
      </c>
      <c r="B78" s="102" t="str">
        <f>Requirment[[#This Row],[Production]]&amp;"_"&amp;Requirment[[#This Row],[Scenarios ]]&amp;"_"&amp;Requirment[[#This Row],[Nb phasis]]</f>
        <v>__</v>
      </c>
      <c r="C78" s="96"/>
      <c r="D78" s="96"/>
      <c r="E78" s="97"/>
      <c r="F78" s="98"/>
      <c r="G78" s="97"/>
      <c r="H78" s="96"/>
      <c r="I78" s="97"/>
      <c r="J78" s="93"/>
      <c r="K78" s="93"/>
      <c r="L78" s="93"/>
      <c r="M78" s="93"/>
      <c r="N78" s="93"/>
      <c r="O78" s="93"/>
      <c r="P78" s="93"/>
      <c r="Q78" s="94"/>
      <c r="R78" s="93"/>
      <c r="S78" s="94"/>
      <c r="T78" s="93"/>
      <c r="U78" s="94"/>
      <c r="V78" s="93"/>
      <c r="W78" s="94"/>
      <c r="X78" s="93"/>
      <c r="Y78" s="94"/>
      <c r="Z78" s="93"/>
      <c r="AA78" s="93"/>
      <c r="AB78" s="93"/>
      <c r="AC78" s="93"/>
      <c r="AD78" s="93"/>
      <c r="AE78" s="93"/>
      <c r="AF78" s="93"/>
      <c r="AG78" s="93"/>
      <c r="AH78" s="94"/>
      <c r="AI78" s="93"/>
      <c r="AJ78" s="94"/>
      <c r="AK78" s="94"/>
      <c r="AL78" s="94"/>
      <c r="AM78" s="94"/>
      <c r="AN78" s="94"/>
      <c r="AO78" s="94"/>
      <c r="AP78" s="94"/>
      <c r="AQ78" s="94"/>
      <c r="AR78" s="86"/>
    </row>
    <row r="79" spans="1:44" x14ac:dyDescent="0.25">
      <c r="A79" s="96" t="str">
        <f>Requirment[[#This Row],[Production]]&amp;"_"&amp;Requirment[[#This Row],[Scenarios ]]&amp;"_"&amp;Requirment[[#This Row],[Nb phasis]]&amp;"_"&amp;Requirment[[#This Row],[Formula_Name]]</f>
        <v>___</v>
      </c>
      <c r="B79" s="102" t="str">
        <f>Requirment[[#This Row],[Production]]&amp;"_"&amp;Requirment[[#This Row],[Scenarios ]]&amp;"_"&amp;Requirment[[#This Row],[Nb phasis]]</f>
        <v>__</v>
      </c>
      <c r="C79" s="96"/>
      <c r="D79" s="96"/>
      <c r="E79" s="97"/>
      <c r="F79" s="98"/>
      <c r="G79" s="97"/>
      <c r="H79" s="96"/>
      <c r="I79" s="97"/>
      <c r="J79" s="93"/>
      <c r="K79" s="93"/>
      <c r="L79" s="93"/>
      <c r="M79" s="93"/>
      <c r="N79" s="93"/>
      <c r="O79" s="93"/>
      <c r="P79" s="93"/>
      <c r="Q79" s="94"/>
      <c r="R79" s="93"/>
      <c r="S79" s="94"/>
      <c r="T79" s="93"/>
      <c r="U79" s="94"/>
      <c r="V79" s="93"/>
      <c r="W79" s="94"/>
      <c r="X79" s="93"/>
      <c r="Y79" s="94"/>
      <c r="Z79" s="93"/>
      <c r="AA79" s="93"/>
      <c r="AB79" s="93"/>
      <c r="AC79" s="93"/>
      <c r="AD79" s="93"/>
      <c r="AE79" s="93"/>
      <c r="AF79" s="93"/>
      <c r="AG79" s="93"/>
      <c r="AH79" s="94"/>
      <c r="AI79" s="93"/>
      <c r="AJ79" s="94"/>
      <c r="AK79" s="94"/>
      <c r="AL79" s="94"/>
      <c r="AM79" s="94"/>
      <c r="AN79" s="94"/>
      <c r="AO79" s="94"/>
      <c r="AP79" s="94"/>
      <c r="AQ79" s="94"/>
      <c r="AR79" s="86"/>
    </row>
    <row r="80" spans="1:44" x14ac:dyDescent="0.25">
      <c r="A80" s="96" t="str">
        <f>Requirment[[#This Row],[Production]]&amp;"_"&amp;Requirment[[#This Row],[Scenarios ]]&amp;"_"&amp;Requirment[[#This Row],[Nb phasis]]&amp;"_"&amp;Requirment[[#This Row],[Formula_Name]]</f>
        <v>___</v>
      </c>
      <c r="B80" s="102" t="str">
        <f>Requirment[[#This Row],[Production]]&amp;"_"&amp;Requirment[[#This Row],[Scenarios ]]&amp;"_"&amp;Requirment[[#This Row],[Nb phasis]]</f>
        <v>__</v>
      </c>
      <c r="C80" s="96"/>
      <c r="D80" s="96"/>
      <c r="E80" s="97"/>
      <c r="F80" s="98"/>
      <c r="G80" s="97"/>
      <c r="H80" s="96"/>
      <c r="I80" s="97"/>
      <c r="J80" s="93"/>
      <c r="K80" s="93"/>
      <c r="L80" s="93"/>
      <c r="M80" s="93"/>
      <c r="N80" s="93"/>
      <c r="O80" s="93"/>
      <c r="P80" s="93"/>
      <c r="Q80" s="94"/>
      <c r="R80" s="93"/>
      <c r="S80" s="94"/>
      <c r="T80" s="93"/>
      <c r="U80" s="94"/>
      <c r="V80" s="93"/>
      <c r="W80" s="94"/>
      <c r="X80" s="93"/>
      <c r="Y80" s="94"/>
      <c r="Z80" s="93"/>
      <c r="AA80" s="93"/>
      <c r="AB80" s="93"/>
      <c r="AC80" s="93"/>
      <c r="AD80" s="93"/>
      <c r="AE80" s="93"/>
      <c r="AF80" s="93"/>
      <c r="AG80" s="93"/>
      <c r="AH80" s="94"/>
      <c r="AI80" s="93"/>
      <c r="AJ80" s="94"/>
      <c r="AK80" s="94"/>
      <c r="AL80" s="94"/>
      <c r="AM80" s="94"/>
      <c r="AN80" s="94"/>
      <c r="AO80" s="94"/>
      <c r="AP80" s="94"/>
      <c r="AQ80" s="94"/>
      <c r="AR80" s="86"/>
    </row>
    <row r="81" spans="1:44" x14ac:dyDescent="0.25">
      <c r="A81" s="96" t="str">
        <f>Requirment[[#This Row],[Production]]&amp;"_"&amp;Requirment[[#This Row],[Scenarios ]]&amp;"_"&amp;Requirment[[#This Row],[Nb phasis]]&amp;"_"&amp;Requirment[[#This Row],[Formula_Name]]</f>
        <v>___</v>
      </c>
      <c r="B81" s="102" t="str">
        <f>Requirment[[#This Row],[Production]]&amp;"_"&amp;Requirment[[#This Row],[Scenarios ]]&amp;"_"&amp;Requirment[[#This Row],[Nb phasis]]</f>
        <v>__</v>
      </c>
      <c r="C81" s="96"/>
      <c r="D81" s="96"/>
      <c r="E81" s="97"/>
      <c r="F81" s="98"/>
      <c r="G81" s="97"/>
      <c r="H81" s="96"/>
      <c r="I81" s="97"/>
      <c r="J81" s="93"/>
      <c r="K81" s="93"/>
      <c r="L81" s="93"/>
      <c r="M81" s="93"/>
      <c r="N81" s="93"/>
      <c r="O81" s="93"/>
      <c r="P81" s="93"/>
      <c r="Q81" s="94"/>
      <c r="R81" s="93"/>
      <c r="S81" s="94"/>
      <c r="T81" s="93"/>
      <c r="U81" s="94"/>
      <c r="V81" s="93"/>
      <c r="W81" s="94"/>
      <c r="X81" s="93"/>
      <c r="Y81" s="94"/>
      <c r="Z81" s="93"/>
      <c r="AA81" s="93"/>
      <c r="AB81" s="93"/>
      <c r="AC81" s="93"/>
      <c r="AD81" s="93"/>
      <c r="AE81" s="93"/>
      <c r="AF81" s="93"/>
      <c r="AG81" s="93"/>
      <c r="AH81" s="94"/>
      <c r="AI81" s="93"/>
      <c r="AJ81" s="94"/>
      <c r="AK81" s="94"/>
      <c r="AL81" s="94"/>
      <c r="AM81" s="94"/>
      <c r="AN81" s="94"/>
      <c r="AO81" s="94"/>
      <c r="AP81" s="94"/>
      <c r="AQ81" s="94"/>
      <c r="AR81" s="86"/>
    </row>
    <row r="82" spans="1:44" x14ac:dyDescent="0.25">
      <c r="A82" s="96" t="str">
        <f>Requirment[[#This Row],[Production]]&amp;"_"&amp;Requirment[[#This Row],[Scenarios ]]&amp;"_"&amp;Requirment[[#This Row],[Nb phasis]]&amp;"_"&amp;Requirment[[#This Row],[Formula_Name]]</f>
        <v>___</v>
      </c>
      <c r="B82" s="102" t="str">
        <f>Requirment[[#This Row],[Production]]&amp;"_"&amp;Requirment[[#This Row],[Scenarios ]]&amp;"_"&amp;Requirment[[#This Row],[Nb phasis]]</f>
        <v>__</v>
      </c>
      <c r="C82" s="96"/>
      <c r="D82" s="96"/>
      <c r="E82" s="97"/>
      <c r="F82" s="98"/>
      <c r="G82" s="97"/>
      <c r="H82" s="96"/>
      <c r="I82" s="97"/>
      <c r="J82" s="93"/>
      <c r="K82" s="93"/>
      <c r="L82" s="93"/>
      <c r="M82" s="93"/>
      <c r="N82" s="93"/>
      <c r="O82" s="93"/>
      <c r="P82" s="93"/>
      <c r="Q82" s="94"/>
      <c r="R82" s="93"/>
      <c r="S82" s="94"/>
      <c r="T82" s="93"/>
      <c r="U82" s="94"/>
      <c r="V82" s="93"/>
      <c r="W82" s="94"/>
      <c r="X82" s="93"/>
      <c r="Y82" s="94"/>
      <c r="Z82" s="93"/>
      <c r="AA82" s="93"/>
      <c r="AB82" s="93"/>
      <c r="AC82" s="93"/>
      <c r="AD82" s="93"/>
      <c r="AE82" s="93"/>
      <c r="AF82" s="93"/>
      <c r="AG82" s="93"/>
      <c r="AH82" s="94"/>
      <c r="AI82" s="93"/>
      <c r="AJ82" s="94"/>
      <c r="AK82" s="94"/>
      <c r="AL82" s="94"/>
      <c r="AM82" s="94"/>
      <c r="AN82" s="94"/>
      <c r="AO82" s="94"/>
      <c r="AP82" s="94"/>
      <c r="AQ82" s="94"/>
      <c r="AR82" s="86"/>
    </row>
    <row r="83" spans="1:44" x14ac:dyDescent="0.25">
      <c r="A83" s="96" t="str">
        <f>Requirment[[#This Row],[Production]]&amp;"_"&amp;Requirment[[#This Row],[Scenarios ]]&amp;"_"&amp;Requirment[[#This Row],[Nb phasis]]&amp;"_"&amp;Requirment[[#This Row],[Formula_Name]]</f>
        <v>___</v>
      </c>
      <c r="B83" s="102" t="str">
        <f>Requirment[[#This Row],[Production]]&amp;"_"&amp;Requirment[[#This Row],[Scenarios ]]&amp;"_"&amp;Requirment[[#This Row],[Nb phasis]]</f>
        <v>__</v>
      </c>
      <c r="C83" s="96"/>
      <c r="D83" s="96"/>
      <c r="E83" s="97"/>
      <c r="F83" s="98"/>
      <c r="G83" s="97"/>
      <c r="H83" s="96"/>
      <c r="I83" s="97"/>
      <c r="J83" s="93"/>
      <c r="K83" s="93"/>
      <c r="L83" s="93"/>
      <c r="M83" s="93"/>
      <c r="N83" s="93"/>
      <c r="O83" s="93"/>
      <c r="P83" s="93"/>
      <c r="Q83" s="94"/>
      <c r="R83" s="93"/>
      <c r="S83" s="94"/>
      <c r="T83" s="93"/>
      <c r="U83" s="94"/>
      <c r="V83" s="93"/>
      <c r="W83" s="94"/>
      <c r="X83" s="93"/>
      <c r="Y83" s="94"/>
      <c r="Z83" s="93"/>
      <c r="AA83" s="93"/>
      <c r="AB83" s="93"/>
      <c r="AC83" s="93"/>
      <c r="AD83" s="93"/>
      <c r="AE83" s="93"/>
      <c r="AF83" s="93"/>
      <c r="AG83" s="93"/>
      <c r="AH83" s="94"/>
      <c r="AI83" s="93"/>
      <c r="AJ83" s="94"/>
      <c r="AK83" s="94"/>
      <c r="AL83" s="94"/>
      <c r="AM83" s="94"/>
      <c r="AN83" s="94"/>
      <c r="AO83" s="94"/>
      <c r="AP83" s="94"/>
      <c r="AQ83" s="94"/>
      <c r="AR83" s="86"/>
    </row>
    <row r="84" spans="1:44" x14ac:dyDescent="0.25">
      <c r="A84" s="96" t="str">
        <f>Requirment[[#This Row],[Production]]&amp;"_"&amp;Requirment[[#This Row],[Scenarios ]]&amp;"_"&amp;Requirment[[#This Row],[Nb phasis]]&amp;"_"&amp;Requirment[[#This Row],[Formula_Name]]</f>
        <v>___</v>
      </c>
      <c r="B84" s="102" t="str">
        <f>Requirment[[#This Row],[Production]]&amp;"_"&amp;Requirment[[#This Row],[Scenarios ]]&amp;"_"&amp;Requirment[[#This Row],[Nb phasis]]</f>
        <v>__</v>
      </c>
      <c r="C84" s="96"/>
      <c r="D84" s="96"/>
      <c r="E84" s="97"/>
      <c r="F84" s="98"/>
      <c r="G84" s="97"/>
      <c r="H84" s="96"/>
      <c r="I84" s="97"/>
      <c r="J84" s="93"/>
      <c r="K84" s="93"/>
      <c r="L84" s="93"/>
      <c r="M84" s="93"/>
      <c r="N84" s="93"/>
      <c r="O84" s="93"/>
      <c r="P84" s="93"/>
      <c r="Q84" s="94"/>
      <c r="R84" s="93"/>
      <c r="S84" s="94"/>
      <c r="T84" s="93"/>
      <c r="U84" s="94"/>
      <c r="V84" s="93"/>
      <c r="W84" s="94"/>
      <c r="X84" s="93"/>
      <c r="Y84" s="94"/>
      <c r="Z84" s="93"/>
      <c r="AA84" s="93"/>
      <c r="AB84" s="93"/>
      <c r="AC84" s="93"/>
      <c r="AD84" s="93"/>
      <c r="AE84" s="93"/>
      <c r="AF84" s="93"/>
      <c r="AG84" s="93"/>
      <c r="AH84" s="94"/>
      <c r="AI84" s="93"/>
      <c r="AJ84" s="94"/>
      <c r="AK84" s="94"/>
      <c r="AL84" s="94"/>
      <c r="AM84" s="94"/>
      <c r="AN84" s="94"/>
      <c r="AO84" s="94"/>
      <c r="AP84" s="94"/>
      <c r="AQ84" s="94"/>
      <c r="AR84" s="86"/>
    </row>
    <row r="85" spans="1:44" x14ac:dyDescent="0.25">
      <c r="A85" s="96" t="str">
        <f>Requirment[[#This Row],[Production]]&amp;"_"&amp;Requirment[[#This Row],[Scenarios ]]&amp;"_"&amp;Requirment[[#This Row],[Nb phasis]]&amp;"_"&amp;Requirment[[#This Row],[Formula_Name]]</f>
        <v>___</v>
      </c>
      <c r="B85" s="102" t="str">
        <f>Requirment[[#This Row],[Production]]&amp;"_"&amp;Requirment[[#This Row],[Scenarios ]]&amp;"_"&amp;Requirment[[#This Row],[Nb phasis]]</f>
        <v>__</v>
      </c>
      <c r="C85" s="96"/>
      <c r="D85" s="96"/>
      <c r="E85" s="97"/>
      <c r="F85" s="98"/>
      <c r="G85" s="97"/>
      <c r="H85" s="96"/>
      <c r="I85" s="97"/>
      <c r="J85" s="93"/>
      <c r="K85" s="93"/>
      <c r="L85" s="93"/>
      <c r="M85" s="93"/>
      <c r="N85" s="93"/>
      <c r="O85" s="93"/>
      <c r="P85" s="93"/>
      <c r="Q85" s="94"/>
      <c r="R85" s="93"/>
      <c r="S85" s="94"/>
      <c r="T85" s="93"/>
      <c r="U85" s="94"/>
      <c r="V85" s="93"/>
      <c r="W85" s="94"/>
      <c r="X85" s="93"/>
      <c r="Y85" s="94"/>
      <c r="Z85" s="93"/>
      <c r="AA85" s="93"/>
      <c r="AB85" s="93"/>
      <c r="AC85" s="93"/>
      <c r="AD85" s="93"/>
      <c r="AE85" s="93"/>
      <c r="AF85" s="93"/>
      <c r="AG85" s="93"/>
      <c r="AH85" s="94"/>
      <c r="AI85" s="93"/>
      <c r="AJ85" s="94"/>
      <c r="AK85" s="94"/>
      <c r="AL85" s="94"/>
      <c r="AM85" s="94"/>
      <c r="AN85" s="94"/>
      <c r="AO85" s="94"/>
      <c r="AP85" s="94"/>
      <c r="AQ85" s="94"/>
      <c r="AR85" s="86"/>
    </row>
    <row r="86" spans="1:44" x14ac:dyDescent="0.25">
      <c r="A86" s="96" t="str">
        <f>Requirment[[#This Row],[Production]]&amp;"_"&amp;Requirment[[#This Row],[Scenarios ]]&amp;"_"&amp;Requirment[[#This Row],[Nb phasis]]&amp;"_"&amp;Requirment[[#This Row],[Formula_Name]]</f>
        <v>___</v>
      </c>
      <c r="B86" s="102" t="str">
        <f>Requirment[[#This Row],[Production]]&amp;"_"&amp;Requirment[[#This Row],[Scenarios ]]&amp;"_"&amp;Requirment[[#This Row],[Nb phasis]]</f>
        <v>__</v>
      </c>
      <c r="C86" s="96"/>
      <c r="D86" s="96"/>
      <c r="E86" s="97"/>
      <c r="F86" s="98"/>
      <c r="G86" s="97"/>
      <c r="H86" s="96"/>
      <c r="I86" s="97"/>
      <c r="J86" s="93"/>
      <c r="K86" s="93"/>
      <c r="L86" s="93"/>
      <c r="M86" s="93"/>
      <c r="N86" s="93"/>
      <c r="O86" s="93"/>
      <c r="P86" s="93"/>
      <c r="Q86" s="94"/>
      <c r="R86" s="93"/>
      <c r="S86" s="94"/>
      <c r="T86" s="93"/>
      <c r="U86" s="94"/>
      <c r="V86" s="93"/>
      <c r="W86" s="94"/>
      <c r="X86" s="93"/>
      <c r="Y86" s="94"/>
      <c r="Z86" s="93"/>
      <c r="AA86" s="93"/>
      <c r="AB86" s="93"/>
      <c r="AC86" s="93"/>
      <c r="AD86" s="93"/>
      <c r="AE86" s="93"/>
      <c r="AF86" s="93"/>
      <c r="AG86" s="93"/>
      <c r="AH86" s="94"/>
      <c r="AI86" s="93"/>
      <c r="AJ86" s="94"/>
      <c r="AK86" s="94"/>
      <c r="AL86" s="94"/>
      <c r="AM86" s="94"/>
      <c r="AN86" s="94"/>
      <c r="AO86" s="94"/>
      <c r="AP86" s="94"/>
      <c r="AQ86" s="94"/>
      <c r="AR86" s="86"/>
    </row>
    <row r="87" spans="1:44" x14ac:dyDescent="0.25">
      <c r="A87" s="96" t="str">
        <f>Requirment[[#This Row],[Production]]&amp;"_"&amp;Requirment[[#This Row],[Scenarios ]]&amp;"_"&amp;Requirment[[#This Row],[Nb phasis]]&amp;"_"&amp;Requirment[[#This Row],[Formula_Name]]</f>
        <v>___</v>
      </c>
      <c r="B87" s="102" t="str">
        <f>Requirment[[#This Row],[Production]]&amp;"_"&amp;Requirment[[#This Row],[Scenarios ]]&amp;"_"&amp;Requirment[[#This Row],[Nb phasis]]</f>
        <v>__</v>
      </c>
      <c r="C87" s="96"/>
      <c r="D87" s="96"/>
      <c r="E87" s="97"/>
      <c r="F87" s="98"/>
      <c r="G87" s="97"/>
      <c r="H87" s="96"/>
      <c r="I87" s="97"/>
      <c r="J87" s="93"/>
      <c r="K87" s="93"/>
      <c r="L87" s="93"/>
      <c r="M87" s="93"/>
      <c r="N87" s="93"/>
      <c r="O87" s="93"/>
      <c r="P87" s="93"/>
      <c r="Q87" s="94"/>
      <c r="R87" s="93"/>
      <c r="S87" s="94"/>
      <c r="T87" s="93"/>
      <c r="U87" s="94"/>
      <c r="V87" s="93"/>
      <c r="W87" s="94"/>
      <c r="X87" s="93"/>
      <c r="Y87" s="94"/>
      <c r="Z87" s="93"/>
      <c r="AA87" s="93"/>
      <c r="AB87" s="93"/>
      <c r="AC87" s="93"/>
      <c r="AD87" s="93"/>
      <c r="AE87" s="93"/>
      <c r="AF87" s="93"/>
      <c r="AG87" s="93"/>
      <c r="AH87" s="94"/>
      <c r="AI87" s="93"/>
      <c r="AJ87" s="94"/>
      <c r="AK87" s="94"/>
      <c r="AL87" s="94"/>
      <c r="AM87" s="94"/>
      <c r="AN87" s="94"/>
      <c r="AO87" s="94"/>
      <c r="AP87" s="94"/>
      <c r="AQ87" s="94"/>
      <c r="AR87" s="86"/>
    </row>
    <row r="88" spans="1:44" x14ac:dyDescent="0.25">
      <c r="A88" s="96" t="str">
        <f>Requirment[[#This Row],[Production]]&amp;"_"&amp;Requirment[[#This Row],[Scenarios ]]&amp;"_"&amp;Requirment[[#This Row],[Nb phasis]]&amp;"_"&amp;Requirment[[#This Row],[Formula_Name]]</f>
        <v>___</v>
      </c>
      <c r="B88" s="102" t="str">
        <f>Requirment[[#This Row],[Production]]&amp;"_"&amp;Requirment[[#This Row],[Scenarios ]]&amp;"_"&amp;Requirment[[#This Row],[Nb phasis]]</f>
        <v>__</v>
      </c>
      <c r="C88" s="96"/>
      <c r="D88" s="96"/>
      <c r="E88" s="97"/>
      <c r="F88" s="98"/>
      <c r="G88" s="97"/>
      <c r="H88" s="96"/>
      <c r="I88" s="97"/>
      <c r="J88" s="93"/>
      <c r="K88" s="93"/>
      <c r="L88" s="93"/>
      <c r="M88" s="93"/>
      <c r="N88" s="93"/>
      <c r="O88" s="93"/>
      <c r="P88" s="93"/>
      <c r="Q88" s="94"/>
      <c r="R88" s="93"/>
      <c r="S88" s="94"/>
      <c r="T88" s="93"/>
      <c r="U88" s="94"/>
      <c r="V88" s="93"/>
      <c r="W88" s="94"/>
      <c r="X88" s="93"/>
      <c r="Y88" s="94"/>
      <c r="Z88" s="93"/>
      <c r="AA88" s="93"/>
      <c r="AB88" s="93"/>
      <c r="AC88" s="93"/>
      <c r="AD88" s="93"/>
      <c r="AE88" s="93"/>
      <c r="AF88" s="93"/>
      <c r="AG88" s="93"/>
      <c r="AH88" s="94"/>
      <c r="AI88" s="93"/>
      <c r="AJ88" s="94"/>
      <c r="AK88" s="94"/>
      <c r="AL88" s="94"/>
      <c r="AM88" s="94"/>
      <c r="AN88" s="94"/>
      <c r="AO88" s="94"/>
      <c r="AP88" s="94"/>
      <c r="AQ88" s="94"/>
      <c r="AR88" s="86"/>
    </row>
    <row r="89" spans="1:44" x14ac:dyDescent="0.25">
      <c r="A89" s="96" t="str">
        <f>Requirment[[#This Row],[Production]]&amp;"_"&amp;Requirment[[#This Row],[Scenarios ]]&amp;"_"&amp;Requirment[[#This Row],[Nb phasis]]&amp;"_"&amp;Requirment[[#This Row],[Formula_Name]]</f>
        <v>___</v>
      </c>
      <c r="B89" s="102" t="str">
        <f>Requirment[[#This Row],[Production]]&amp;"_"&amp;Requirment[[#This Row],[Scenarios ]]&amp;"_"&amp;Requirment[[#This Row],[Nb phasis]]</f>
        <v>__</v>
      </c>
      <c r="C89" s="96"/>
      <c r="D89" s="96"/>
      <c r="E89" s="97"/>
      <c r="F89" s="98"/>
      <c r="G89" s="97"/>
      <c r="H89" s="96"/>
      <c r="I89" s="97"/>
      <c r="J89" s="93"/>
      <c r="K89" s="93"/>
      <c r="L89" s="93"/>
      <c r="M89" s="93"/>
      <c r="N89" s="93"/>
      <c r="O89" s="93"/>
      <c r="P89" s="93"/>
      <c r="Q89" s="94"/>
      <c r="R89" s="93"/>
      <c r="S89" s="94"/>
      <c r="T89" s="93"/>
      <c r="U89" s="94"/>
      <c r="V89" s="93"/>
      <c r="W89" s="94"/>
      <c r="X89" s="93"/>
      <c r="Y89" s="94"/>
      <c r="Z89" s="93"/>
      <c r="AA89" s="93"/>
      <c r="AB89" s="93"/>
      <c r="AC89" s="93"/>
      <c r="AD89" s="93"/>
      <c r="AE89" s="93"/>
      <c r="AF89" s="93"/>
      <c r="AG89" s="93"/>
      <c r="AH89" s="94"/>
      <c r="AI89" s="93"/>
      <c r="AJ89" s="94"/>
      <c r="AK89" s="94"/>
      <c r="AL89" s="94"/>
      <c r="AM89" s="94"/>
      <c r="AN89" s="94"/>
      <c r="AO89" s="94"/>
      <c r="AP89" s="94"/>
      <c r="AQ89" s="94"/>
      <c r="AR89" s="86"/>
    </row>
    <row r="90" spans="1:44" x14ac:dyDescent="0.25">
      <c r="A90" s="96" t="str">
        <f>Requirment[[#This Row],[Production]]&amp;"_"&amp;Requirment[[#This Row],[Scenarios ]]&amp;"_"&amp;Requirment[[#This Row],[Nb phasis]]&amp;"_"&amp;Requirment[[#This Row],[Formula_Name]]</f>
        <v>___</v>
      </c>
      <c r="B90" s="102" t="str">
        <f>Requirment[[#This Row],[Production]]&amp;"_"&amp;Requirment[[#This Row],[Scenarios ]]&amp;"_"&amp;Requirment[[#This Row],[Nb phasis]]</f>
        <v>__</v>
      </c>
      <c r="C90" s="96"/>
      <c r="D90" s="96"/>
      <c r="E90" s="97"/>
      <c r="F90" s="98"/>
      <c r="G90" s="97"/>
      <c r="H90" s="96"/>
      <c r="I90" s="97"/>
      <c r="J90" s="93"/>
      <c r="K90" s="93"/>
      <c r="L90" s="93"/>
      <c r="M90" s="93"/>
      <c r="N90" s="93"/>
      <c r="O90" s="93"/>
      <c r="P90" s="93"/>
      <c r="Q90" s="94"/>
      <c r="R90" s="93"/>
      <c r="S90" s="94"/>
      <c r="T90" s="93"/>
      <c r="U90" s="94"/>
      <c r="V90" s="93"/>
      <c r="W90" s="94"/>
      <c r="X90" s="93"/>
      <c r="Y90" s="94"/>
      <c r="Z90" s="93"/>
      <c r="AA90" s="93"/>
      <c r="AB90" s="93"/>
      <c r="AC90" s="93"/>
      <c r="AD90" s="93"/>
      <c r="AE90" s="93"/>
      <c r="AF90" s="93"/>
      <c r="AG90" s="93"/>
      <c r="AH90" s="94"/>
      <c r="AI90" s="93"/>
      <c r="AJ90" s="94"/>
      <c r="AK90" s="94"/>
      <c r="AL90" s="94"/>
      <c r="AM90" s="94"/>
      <c r="AN90" s="94"/>
      <c r="AO90" s="94"/>
      <c r="AP90" s="94"/>
      <c r="AQ90" s="94"/>
      <c r="AR90" s="86"/>
    </row>
    <row r="91" spans="1:44" x14ac:dyDescent="0.25">
      <c r="A91" s="96" t="str">
        <f>Requirment[[#This Row],[Production]]&amp;"_"&amp;Requirment[[#This Row],[Scenarios ]]&amp;"_"&amp;Requirment[[#This Row],[Nb phasis]]&amp;"_"&amp;Requirment[[#This Row],[Formula_Name]]</f>
        <v>___</v>
      </c>
      <c r="B91" s="102" t="str">
        <f>Requirment[[#This Row],[Production]]&amp;"_"&amp;Requirment[[#This Row],[Scenarios ]]&amp;"_"&amp;Requirment[[#This Row],[Nb phasis]]</f>
        <v>__</v>
      </c>
      <c r="C91" s="96"/>
      <c r="D91" s="96"/>
      <c r="E91" s="97"/>
      <c r="F91" s="98"/>
      <c r="G91" s="97"/>
      <c r="H91" s="96"/>
      <c r="I91" s="97"/>
      <c r="J91" s="93"/>
      <c r="K91" s="93"/>
      <c r="L91" s="93"/>
      <c r="M91" s="93"/>
      <c r="N91" s="93"/>
      <c r="O91" s="93"/>
      <c r="P91" s="93"/>
      <c r="Q91" s="94"/>
      <c r="R91" s="93"/>
      <c r="S91" s="94"/>
      <c r="T91" s="93"/>
      <c r="U91" s="94"/>
      <c r="V91" s="93"/>
      <c r="W91" s="94"/>
      <c r="X91" s="93"/>
      <c r="Y91" s="94"/>
      <c r="Z91" s="93"/>
      <c r="AA91" s="93"/>
      <c r="AB91" s="93"/>
      <c r="AC91" s="93"/>
      <c r="AD91" s="93"/>
      <c r="AE91" s="93"/>
      <c r="AF91" s="93"/>
      <c r="AG91" s="93"/>
      <c r="AH91" s="94"/>
      <c r="AI91" s="93"/>
      <c r="AJ91" s="94"/>
      <c r="AK91" s="94"/>
      <c r="AL91" s="94"/>
      <c r="AM91" s="94"/>
      <c r="AN91" s="94"/>
      <c r="AO91" s="94"/>
      <c r="AP91" s="94"/>
      <c r="AQ91" s="94"/>
      <c r="AR91" s="86"/>
    </row>
    <row r="92" spans="1:44" x14ac:dyDescent="0.25">
      <c r="A92" s="96" t="str">
        <f>Requirment[[#This Row],[Production]]&amp;"_"&amp;Requirment[[#This Row],[Scenarios ]]&amp;"_"&amp;Requirment[[#This Row],[Nb phasis]]&amp;"_"&amp;Requirment[[#This Row],[Formula_Name]]</f>
        <v>___</v>
      </c>
      <c r="B92" s="102" t="str">
        <f>Requirment[[#This Row],[Production]]&amp;"_"&amp;Requirment[[#This Row],[Scenarios ]]&amp;"_"&amp;Requirment[[#This Row],[Nb phasis]]</f>
        <v>__</v>
      </c>
      <c r="C92" s="96"/>
      <c r="D92" s="96"/>
      <c r="E92" s="97"/>
      <c r="F92" s="98"/>
      <c r="G92" s="97"/>
      <c r="H92" s="96"/>
      <c r="I92" s="97"/>
      <c r="J92" s="93"/>
      <c r="K92" s="93"/>
      <c r="L92" s="93"/>
      <c r="M92" s="93"/>
      <c r="N92" s="93"/>
      <c r="O92" s="93"/>
      <c r="P92" s="93"/>
      <c r="Q92" s="94"/>
      <c r="R92" s="93"/>
      <c r="S92" s="94"/>
      <c r="T92" s="93"/>
      <c r="U92" s="94"/>
      <c r="V92" s="93"/>
      <c r="W92" s="94"/>
      <c r="X92" s="93"/>
      <c r="Y92" s="94"/>
      <c r="Z92" s="93"/>
      <c r="AA92" s="93"/>
      <c r="AB92" s="93"/>
      <c r="AC92" s="93"/>
      <c r="AD92" s="93"/>
      <c r="AE92" s="93"/>
      <c r="AF92" s="93"/>
      <c r="AG92" s="93"/>
      <c r="AH92" s="94"/>
      <c r="AI92" s="93"/>
      <c r="AJ92" s="94"/>
      <c r="AK92" s="94"/>
      <c r="AL92" s="94"/>
      <c r="AM92" s="94"/>
      <c r="AN92" s="94"/>
      <c r="AO92" s="94"/>
      <c r="AP92" s="94"/>
      <c r="AQ92" s="94"/>
      <c r="AR92" s="86"/>
    </row>
    <row r="93" spans="1:44" x14ac:dyDescent="0.25">
      <c r="A93" s="96" t="str">
        <f>Requirment[[#This Row],[Production]]&amp;"_"&amp;Requirment[[#This Row],[Scenarios ]]&amp;"_"&amp;Requirment[[#This Row],[Nb phasis]]&amp;"_"&amp;Requirment[[#This Row],[Formula_Name]]</f>
        <v>___</v>
      </c>
      <c r="B93" s="102" t="str">
        <f>Requirment[[#This Row],[Production]]&amp;"_"&amp;Requirment[[#This Row],[Scenarios ]]&amp;"_"&amp;Requirment[[#This Row],[Nb phasis]]</f>
        <v>__</v>
      </c>
      <c r="C93" s="96"/>
      <c r="D93" s="96"/>
      <c r="E93" s="97"/>
      <c r="F93" s="98"/>
      <c r="G93" s="97"/>
      <c r="H93" s="96"/>
      <c r="I93" s="97"/>
      <c r="J93" s="93"/>
      <c r="K93" s="93"/>
      <c r="L93" s="93"/>
      <c r="M93" s="93"/>
      <c r="N93" s="93"/>
      <c r="O93" s="93"/>
      <c r="P93" s="93"/>
      <c r="Q93" s="94"/>
      <c r="R93" s="93"/>
      <c r="S93" s="94"/>
      <c r="T93" s="93"/>
      <c r="U93" s="94"/>
      <c r="V93" s="93"/>
      <c r="W93" s="94"/>
      <c r="X93" s="93"/>
      <c r="Y93" s="94"/>
      <c r="Z93" s="93"/>
      <c r="AA93" s="93"/>
      <c r="AB93" s="93"/>
      <c r="AC93" s="93"/>
      <c r="AD93" s="93"/>
      <c r="AE93" s="93"/>
      <c r="AF93" s="93"/>
      <c r="AG93" s="93"/>
      <c r="AH93" s="94"/>
      <c r="AI93" s="93"/>
      <c r="AJ93" s="94"/>
      <c r="AK93" s="94"/>
      <c r="AL93" s="94"/>
      <c r="AM93" s="94"/>
      <c r="AN93" s="94"/>
      <c r="AO93" s="94"/>
      <c r="AP93" s="94"/>
      <c r="AQ93" s="94"/>
      <c r="AR93" s="86"/>
    </row>
    <row r="94" spans="1:44" x14ac:dyDescent="0.25">
      <c r="A94" s="96" t="str">
        <f>Requirment[[#This Row],[Production]]&amp;"_"&amp;Requirment[[#This Row],[Scenarios ]]&amp;"_"&amp;Requirment[[#This Row],[Nb phasis]]&amp;"_"&amp;Requirment[[#This Row],[Formula_Name]]</f>
        <v>___</v>
      </c>
      <c r="B94" s="102" t="str">
        <f>Requirment[[#This Row],[Production]]&amp;"_"&amp;Requirment[[#This Row],[Scenarios ]]&amp;"_"&amp;Requirment[[#This Row],[Nb phasis]]</f>
        <v>__</v>
      </c>
      <c r="C94" s="96"/>
      <c r="D94" s="96"/>
      <c r="E94" s="97"/>
      <c r="F94" s="98"/>
      <c r="G94" s="97"/>
      <c r="H94" s="96"/>
      <c r="I94" s="97"/>
      <c r="J94" s="93"/>
      <c r="K94" s="93"/>
      <c r="L94" s="93"/>
      <c r="M94" s="93"/>
      <c r="N94" s="93"/>
      <c r="O94" s="93"/>
      <c r="P94" s="93"/>
      <c r="Q94" s="94"/>
      <c r="R94" s="93"/>
      <c r="S94" s="94"/>
      <c r="T94" s="93"/>
      <c r="U94" s="94"/>
      <c r="V94" s="93"/>
      <c r="W94" s="94"/>
      <c r="X94" s="93"/>
      <c r="Y94" s="94"/>
      <c r="Z94" s="93"/>
      <c r="AA94" s="93"/>
      <c r="AB94" s="93"/>
      <c r="AC94" s="93"/>
      <c r="AD94" s="93"/>
      <c r="AE94" s="93"/>
      <c r="AF94" s="93"/>
      <c r="AG94" s="93"/>
      <c r="AH94" s="94"/>
      <c r="AI94" s="93"/>
      <c r="AJ94" s="94"/>
      <c r="AK94" s="94"/>
      <c r="AL94" s="94"/>
      <c r="AM94" s="94"/>
      <c r="AN94" s="94"/>
      <c r="AO94" s="94"/>
      <c r="AP94" s="94"/>
      <c r="AQ94" s="94"/>
      <c r="AR94" s="86"/>
    </row>
    <row r="95" spans="1:44" x14ac:dyDescent="0.25">
      <c r="A95" s="96" t="str">
        <f>Requirment[[#This Row],[Production]]&amp;"_"&amp;Requirment[[#This Row],[Scenarios ]]&amp;"_"&amp;Requirment[[#This Row],[Nb phasis]]&amp;"_"&amp;Requirment[[#This Row],[Formula_Name]]</f>
        <v>___</v>
      </c>
      <c r="B95" s="102" t="str">
        <f>Requirment[[#This Row],[Production]]&amp;"_"&amp;Requirment[[#This Row],[Scenarios ]]&amp;"_"&amp;Requirment[[#This Row],[Nb phasis]]</f>
        <v>__</v>
      </c>
      <c r="C95" s="96"/>
      <c r="D95" s="96"/>
      <c r="E95" s="97"/>
      <c r="F95" s="98"/>
      <c r="G95" s="97"/>
      <c r="H95" s="96"/>
      <c r="I95" s="97"/>
      <c r="J95" s="93"/>
      <c r="K95" s="93"/>
      <c r="L95" s="93"/>
      <c r="M95" s="93"/>
      <c r="N95" s="93"/>
      <c r="O95" s="93"/>
      <c r="P95" s="93"/>
      <c r="Q95" s="94"/>
      <c r="R95" s="93"/>
      <c r="S95" s="94"/>
      <c r="T95" s="93"/>
      <c r="U95" s="94"/>
      <c r="V95" s="93"/>
      <c r="W95" s="94"/>
      <c r="X95" s="93"/>
      <c r="Y95" s="94"/>
      <c r="Z95" s="93"/>
      <c r="AA95" s="93"/>
      <c r="AB95" s="93"/>
      <c r="AC95" s="93"/>
      <c r="AD95" s="93"/>
      <c r="AE95" s="93"/>
      <c r="AF95" s="93"/>
      <c r="AG95" s="93"/>
      <c r="AH95" s="94"/>
      <c r="AI95" s="93"/>
      <c r="AJ95" s="94"/>
      <c r="AK95" s="94"/>
      <c r="AL95" s="94"/>
      <c r="AM95" s="94"/>
      <c r="AN95" s="94"/>
      <c r="AO95" s="94"/>
      <c r="AP95" s="94"/>
      <c r="AQ95" s="94"/>
      <c r="AR95" s="86"/>
    </row>
    <row r="96" spans="1:44" x14ac:dyDescent="0.25">
      <c r="A96" s="96" t="str">
        <f>Requirment[[#This Row],[Production]]&amp;"_"&amp;Requirment[[#This Row],[Scenarios ]]&amp;"_"&amp;Requirment[[#This Row],[Nb phasis]]&amp;"_"&amp;Requirment[[#This Row],[Formula_Name]]</f>
        <v>___</v>
      </c>
      <c r="B96" s="102" t="str">
        <f>Requirment[[#This Row],[Production]]&amp;"_"&amp;Requirment[[#This Row],[Scenarios ]]&amp;"_"&amp;Requirment[[#This Row],[Nb phasis]]</f>
        <v>__</v>
      </c>
      <c r="C96" s="96"/>
      <c r="D96" s="96"/>
      <c r="E96" s="97"/>
      <c r="F96" s="98"/>
      <c r="G96" s="97"/>
      <c r="H96" s="96"/>
      <c r="I96" s="97"/>
      <c r="J96" s="93"/>
      <c r="K96" s="93"/>
      <c r="L96" s="93"/>
      <c r="M96" s="93"/>
      <c r="N96" s="93"/>
      <c r="O96" s="93"/>
      <c r="P96" s="93"/>
      <c r="Q96" s="94"/>
      <c r="R96" s="93"/>
      <c r="S96" s="94"/>
      <c r="T96" s="93"/>
      <c r="U96" s="94"/>
      <c r="V96" s="93"/>
      <c r="W96" s="94"/>
      <c r="X96" s="93"/>
      <c r="Y96" s="94"/>
      <c r="Z96" s="93"/>
      <c r="AA96" s="93"/>
      <c r="AB96" s="93"/>
      <c r="AC96" s="93"/>
      <c r="AD96" s="93"/>
      <c r="AE96" s="93"/>
      <c r="AF96" s="93"/>
      <c r="AG96" s="93"/>
      <c r="AH96" s="94"/>
      <c r="AI96" s="93"/>
      <c r="AJ96" s="94"/>
      <c r="AK96" s="94"/>
      <c r="AL96" s="94"/>
      <c r="AM96" s="94"/>
      <c r="AN96" s="94"/>
      <c r="AO96" s="94"/>
      <c r="AP96" s="94"/>
      <c r="AQ96" s="94"/>
      <c r="AR96" s="86"/>
    </row>
    <row r="97" spans="1:44" x14ac:dyDescent="0.25">
      <c r="A97" s="96" t="str">
        <f>Requirment[[#This Row],[Production]]&amp;"_"&amp;Requirment[[#This Row],[Scenarios ]]&amp;"_"&amp;Requirment[[#This Row],[Nb phasis]]&amp;"_"&amp;Requirment[[#This Row],[Formula_Name]]</f>
        <v>___</v>
      </c>
      <c r="B97" s="102" t="str">
        <f>Requirment[[#This Row],[Production]]&amp;"_"&amp;Requirment[[#This Row],[Scenarios ]]&amp;"_"&amp;Requirment[[#This Row],[Nb phasis]]</f>
        <v>__</v>
      </c>
      <c r="C97" s="96"/>
      <c r="D97" s="96"/>
      <c r="E97" s="97"/>
      <c r="F97" s="98"/>
      <c r="G97" s="97"/>
      <c r="H97" s="96"/>
      <c r="I97" s="97"/>
      <c r="J97" s="93"/>
      <c r="K97" s="93"/>
      <c r="L97" s="93"/>
      <c r="M97" s="93"/>
      <c r="N97" s="93"/>
      <c r="O97" s="93"/>
      <c r="P97" s="93"/>
      <c r="Q97" s="94"/>
      <c r="R97" s="93"/>
      <c r="S97" s="94"/>
      <c r="T97" s="93"/>
      <c r="U97" s="94"/>
      <c r="V97" s="93"/>
      <c r="W97" s="94"/>
      <c r="X97" s="93"/>
      <c r="Y97" s="94"/>
      <c r="Z97" s="93"/>
      <c r="AA97" s="93"/>
      <c r="AB97" s="93"/>
      <c r="AC97" s="93"/>
      <c r="AD97" s="93"/>
      <c r="AE97" s="93"/>
      <c r="AF97" s="93"/>
      <c r="AG97" s="93"/>
      <c r="AH97" s="94"/>
      <c r="AI97" s="93"/>
      <c r="AJ97" s="94"/>
      <c r="AK97" s="94"/>
      <c r="AL97" s="94"/>
      <c r="AM97" s="94"/>
      <c r="AN97" s="94"/>
      <c r="AO97" s="94"/>
      <c r="AP97" s="94"/>
      <c r="AQ97" s="94"/>
      <c r="AR97" s="86"/>
    </row>
    <row r="98" spans="1:44" x14ac:dyDescent="0.25">
      <c r="A98" s="96" t="str">
        <f>Requirment[[#This Row],[Production]]&amp;"_"&amp;Requirment[[#This Row],[Scenarios ]]&amp;"_"&amp;Requirment[[#This Row],[Nb phasis]]&amp;"_"&amp;Requirment[[#This Row],[Formula_Name]]</f>
        <v>___</v>
      </c>
      <c r="B98" s="102" t="str">
        <f>Requirment[[#This Row],[Production]]&amp;"_"&amp;Requirment[[#This Row],[Scenarios ]]&amp;"_"&amp;Requirment[[#This Row],[Nb phasis]]</f>
        <v>__</v>
      </c>
      <c r="C98" s="96"/>
      <c r="D98" s="96"/>
      <c r="E98" s="97"/>
      <c r="F98" s="98"/>
      <c r="G98" s="97"/>
      <c r="H98" s="96"/>
      <c r="I98" s="97"/>
      <c r="J98" s="93"/>
      <c r="K98" s="93"/>
      <c r="L98" s="93"/>
      <c r="M98" s="93"/>
      <c r="N98" s="93"/>
      <c r="O98" s="93"/>
      <c r="P98" s="93"/>
      <c r="Q98" s="94"/>
      <c r="R98" s="93"/>
      <c r="S98" s="94"/>
      <c r="T98" s="93"/>
      <c r="U98" s="94"/>
      <c r="V98" s="93"/>
      <c r="W98" s="94"/>
      <c r="X98" s="93"/>
      <c r="Y98" s="94"/>
      <c r="Z98" s="93"/>
      <c r="AA98" s="93"/>
      <c r="AB98" s="93"/>
      <c r="AC98" s="93"/>
      <c r="AD98" s="93"/>
      <c r="AE98" s="93"/>
      <c r="AF98" s="93"/>
      <c r="AG98" s="93"/>
      <c r="AH98" s="94"/>
      <c r="AI98" s="93"/>
      <c r="AJ98" s="94"/>
      <c r="AK98" s="94"/>
      <c r="AL98" s="94"/>
      <c r="AM98" s="94"/>
      <c r="AN98" s="94"/>
      <c r="AO98" s="94"/>
      <c r="AP98" s="94"/>
      <c r="AQ98" s="94"/>
      <c r="AR98" s="86"/>
    </row>
    <row r="99" spans="1:44" x14ac:dyDescent="0.25">
      <c r="A99" s="96" t="str">
        <f>Requirment[[#This Row],[Production]]&amp;"_"&amp;Requirment[[#This Row],[Scenarios ]]&amp;"_"&amp;Requirment[[#This Row],[Nb phasis]]&amp;"_"&amp;Requirment[[#This Row],[Formula_Name]]</f>
        <v>___</v>
      </c>
      <c r="B99" s="102" t="str">
        <f>Requirment[[#This Row],[Production]]&amp;"_"&amp;Requirment[[#This Row],[Scenarios ]]&amp;"_"&amp;Requirment[[#This Row],[Nb phasis]]</f>
        <v>__</v>
      </c>
      <c r="C99" s="96"/>
      <c r="D99" s="96"/>
      <c r="E99" s="97"/>
      <c r="F99" s="98"/>
      <c r="G99" s="97"/>
      <c r="H99" s="96"/>
      <c r="I99" s="97"/>
      <c r="J99" s="93"/>
      <c r="K99" s="93"/>
      <c r="L99" s="93"/>
      <c r="M99" s="93"/>
      <c r="N99" s="93"/>
      <c r="O99" s="93"/>
      <c r="P99" s="93"/>
      <c r="Q99" s="94"/>
      <c r="R99" s="93"/>
      <c r="S99" s="94"/>
      <c r="T99" s="93"/>
      <c r="U99" s="94"/>
      <c r="V99" s="93"/>
      <c r="W99" s="94"/>
      <c r="X99" s="93"/>
      <c r="Y99" s="94"/>
      <c r="Z99" s="93"/>
      <c r="AA99" s="93"/>
      <c r="AB99" s="93"/>
      <c r="AC99" s="93"/>
      <c r="AD99" s="93"/>
      <c r="AE99" s="93"/>
      <c r="AF99" s="93"/>
      <c r="AG99" s="93"/>
      <c r="AH99" s="94"/>
      <c r="AI99" s="93"/>
      <c r="AJ99" s="94"/>
      <c r="AK99" s="94"/>
      <c r="AL99" s="94"/>
      <c r="AM99" s="94"/>
      <c r="AN99" s="94"/>
      <c r="AO99" s="94"/>
      <c r="AP99" s="94"/>
      <c r="AQ99" s="94"/>
      <c r="AR99" s="86"/>
    </row>
    <row r="100" spans="1:44" x14ac:dyDescent="0.25">
      <c r="A100" s="96" t="str">
        <f>Requirment[[#This Row],[Production]]&amp;"_"&amp;Requirment[[#This Row],[Scenarios ]]&amp;"_"&amp;Requirment[[#This Row],[Nb phasis]]&amp;"_"&amp;Requirment[[#This Row],[Formula_Name]]</f>
        <v>___</v>
      </c>
      <c r="B100" s="102" t="str">
        <f>Requirment[[#This Row],[Production]]&amp;"_"&amp;Requirment[[#This Row],[Scenarios ]]&amp;"_"&amp;Requirment[[#This Row],[Nb phasis]]</f>
        <v>__</v>
      </c>
      <c r="C100" s="96"/>
      <c r="D100" s="96"/>
      <c r="E100" s="97"/>
      <c r="F100" s="98"/>
      <c r="G100" s="97"/>
      <c r="H100" s="96"/>
      <c r="I100" s="97"/>
      <c r="J100" s="93"/>
      <c r="K100" s="93"/>
      <c r="L100" s="93"/>
      <c r="M100" s="93"/>
      <c r="N100" s="93"/>
      <c r="O100" s="93"/>
      <c r="P100" s="93"/>
      <c r="Q100" s="94"/>
      <c r="R100" s="93"/>
      <c r="S100" s="94"/>
      <c r="T100" s="93"/>
      <c r="U100" s="94"/>
      <c r="V100" s="93"/>
      <c r="W100" s="94"/>
      <c r="X100" s="93"/>
      <c r="Y100" s="94"/>
      <c r="Z100" s="93"/>
      <c r="AA100" s="93"/>
      <c r="AB100" s="93"/>
      <c r="AC100" s="93"/>
      <c r="AD100" s="93"/>
      <c r="AE100" s="93"/>
      <c r="AF100" s="93"/>
      <c r="AG100" s="93"/>
      <c r="AH100" s="94"/>
      <c r="AI100" s="93"/>
      <c r="AJ100" s="94"/>
      <c r="AK100" s="94"/>
      <c r="AL100" s="94"/>
      <c r="AM100" s="94"/>
      <c r="AN100" s="94"/>
      <c r="AO100" s="94"/>
      <c r="AP100" s="94"/>
      <c r="AQ100" s="94"/>
      <c r="AR100" s="86"/>
    </row>
    <row r="101" spans="1:44" x14ac:dyDescent="0.25">
      <c r="A101" s="96" t="str">
        <f>Requirment[[#This Row],[Production]]&amp;"_"&amp;Requirment[[#This Row],[Scenarios ]]&amp;"_"&amp;Requirment[[#This Row],[Nb phasis]]&amp;"_"&amp;Requirment[[#This Row],[Formula_Name]]</f>
        <v>___</v>
      </c>
      <c r="B101" s="102" t="str">
        <f>Requirment[[#This Row],[Production]]&amp;"_"&amp;Requirment[[#This Row],[Scenarios ]]&amp;"_"&amp;Requirment[[#This Row],[Nb phasis]]</f>
        <v>__</v>
      </c>
      <c r="C101" s="96"/>
      <c r="D101" s="96"/>
      <c r="E101" s="97"/>
      <c r="F101" s="98"/>
      <c r="G101" s="97"/>
      <c r="H101" s="96"/>
      <c r="I101" s="97"/>
      <c r="J101" s="93"/>
      <c r="K101" s="93"/>
      <c r="L101" s="93"/>
      <c r="M101" s="93"/>
      <c r="N101" s="93"/>
      <c r="O101" s="93"/>
      <c r="P101" s="93"/>
      <c r="Q101" s="94"/>
      <c r="R101" s="93"/>
      <c r="S101" s="94"/>
      <c r="T101" s="93"/>
      <c r="U101" s="94"/>
      <c r="V101" s="93"/>
      <c r="W101" s="94"/>
      <c r="X101" s="93"/>
      <c r="Y101" s="94"/>
      <c r="Z101" s="93"/>
      <c r="AA101" s="93"/>
      <c r="AB101" s="93"/>
      <c r="AC101" s="93"/>
      <c r="AD101" s="93"/>
      <c r="AE101" s="93"/>
      <c r="AF101" s="93"/>
      <c r="AG101" s="93"/>
      <c r="AH101" s="94"/>
      <c r="AI101" s="93"/>
      <c r="AJ101" s="94"/>
      <c r="AK101" s="94"/>
      <c r="AL101" s="94"/>
      <c r="AM101" s="94"/>
      <c r="AN101" s="94"/>
      <c r="AO101" s="94"/>
      <c r="AP101" s="94"/>
      <c r="AQ101" s="94"/>
      <c r="AR101" s="86"/>
    </row>
    <row r="102" spans="1:44" x14ac:dyDescent="0.25">
      <c r="A102" s="96" t="str">
        <f>Requirment[[#This Row],[Production]]&amp;"_"&amp;Requirment[[#This Row],[Scenarios ]]&amp;"_"&amp;Requirment[[#This Row],[Nb phasis]]&amp;"_"&amp;Requirment[[#This Row],[Formula_Name]]</f>
        <v>___</v>
      </c>
      <c r="B102" s="102" t="str">
        <f>Requirment[[#This Row],[Production]]&amp;"_"&amp;Requirment[[#This Row],[Scenarios ]]&amp;"_"&amp;Requirment[[#This Row],[Nb phasis]]</f>
        <v>__</v>
      </c>
      <c r="C102" s="96"/>
      <c r="D102" s="96"/>
      <c r="E102" s="97"/>
      <c r="F102" s="98"/>
      <c r="G102" s="97"/>
      <c r="H102" s="96"/>
      <c r="I102" s="97"/>
      <c r="J102" s="93"/>
      <c r="K102" s="93"/>
      <c r="L102" s="93"/>
      <c r="M102" s="93"/>
      <c r="N102" s="93"/>
      <c r="O102" s="93"/>
      <c r="P102" s="93"/>
      <c r="Q102" s="94"/>
      <c r="R102" s="93"/>
      <c r="S102" s="94"/>
      <c r="T102" s="93"/>
      <c r="U102" s="94"/>
      <c r="V102" s="93"/>
      <c r="W102" s="94"/>
      <c r="X102" s="93"/>
      <c r="Y102" s="94"/>
      <c r="Z102" s="93"/>
      <c r="AA102" s="93"/>
      <c r="AB102" s="93"/>
      <c r="AC102" s="93"/>
      <c r="AD102" s="93"/>
      <c r="AE102" s="93"/>
      <c r="AF102" s="93"/>
      <c r="AG102" s="93"/>
      <c r="AH102" s="94"/>
      <c r="AI102" s="93"/>
      <c r="AJ102" s="94"/>
      <c r="AK102" s="94"/>
      <c r="AL102" s="94"/>
      <c r="AM102" s="94"/>
      <c r="AN102" s="94"/>
      <c r="AO102" s="94"/>
      <c r="AP102" s="94"/>
      <c r="AQ102" s="94"/>
      <c r="AR102" s="86"/>
    </row>
    <row r="103" spans="1:44" x14ac:dyDescent="0.25">
      <c r="A103" s="96" t="str">
        <f>Requirment[[#This Row],[Production]]&amp;"_"&amp;Requirment[[#This Row],[Scenarios ]]&amp;"_"&amp;Requirment[[#This Row],[Nb phasis]]&amp;"_"&amp;Requirment[[#This Row],[Formula_Name]]</f>
        <v>___</v>
      </c>
      <c r="B103" s="102" t="str">
        <f>Requirment[[#This Row],[Production]]&amp;"_"&amp;Requirment[[#This Row],[Scenarios ]]&amp;"_"&amp;Requirment[[#This Row],[Nb phasis]]</f>
        <v>__</v>
      </c>
      <c r="C103" s="96"/>
      <c r="D103" s="96"/>
      <c r="E103" s="97"/>
      <c r="F103" s="98"/>
      <c r="G103" s="97"/>
      <c r="H103" s="96"/>
      <c r="I103" s="97"/>
      <c r="J103" s="93"/>
      <c r="K103" s="93"/>
      <c r="L103" s="93"/>
      <c r="M103" s="93"/>
      <c r="N103" s="93"/>
      <c r="O103" s="93"/>
      <c r="P103" s="93"/>
      <c r="Q103" s="94"/>
      <c r="R103" s="93"/>
      <c r="S103" s="94"/>
      <c r="T103" s="93"/>
      <c r="U103" s="94"/>
      <c r="V103" s="93"/>
      <c r="W103" s="94"/>
      <c r="X103" s="93"/>
      <c r="Y103" s="94"/>
      <c r="Z103" s="93"/>
      <c r="AA103" s="93"/>
      <c r="AB103" s="93"/>
      <c r="AC103" s="93"/>
      <c r="AD103" s="93"/>
      <c r="AE103" s="93"/>
      <c r="AF103" s="93"/>
      <c r="AG103" s="93"/>
      <c r="AH103" s="94"/>
      <c r="AI103" s="93"/>
      <c r="AJ103" s="94"/>
      <c r="AK103" s="94"/>
      <c r="AL103" s="94"/>
      <c r="AM103" s="94"/>
      <c r="AN103" s="94"/>
      <c r="AO103" s="94"/>
      <c r="AP103" s="94"/>
      <c r="AQ103" s="94"/>
      <c r="AR103" s="86"/>
    </row>
    <row r="104" spans="1:44" x14ac:dyDescent="0.25">
      <c r="A104" s="96" t="str">
        <f>Requirment[[#This Row],[Production]]&amp;"_"&amp;Requirment[[#This Row],[Scenarios ]]&amp;"_"&amp;Requirment[[#This Row],[Nb phasis]]&amp;"_"&amp;Requirment[[#This Row],[Formula_Name]]</f>
        <v>___</v>
      </c>
      <c r="B104" s="102" t="str">
        <f>Requirment[[#This Row],[Production]]&amp;"_"&amp;Requirment[[#This Row],[Scenarios ]]&amp;"_"&amp;Requirment[[#This Row],[Nb phasis]]</f>
        <v>__</v>
      </c>
      <c r="C104" s="96"/>
      <c r="D104" s="96"/>
      <c r="E104" s="97"/>
      <c r="F104" s="98"/>
      <c r="G104" s="97"/>
      <c r="H104" s="96"/>
      <c r="I104" s="97"/>
      <c r="J104" s="93"/>
      <c r="K104" s="93"/>
      <c r="L104" s="93"/>
      <c r="M104" s="93"/>
      <c r="N104" s="93"/>
      <c r="O104" s="93"/>
      <c r="P104" s="93"/>
      <c r="Q104" s="94"/>
      <c r="R104" s="93"/>
      <c r="S104" s="94"/>
      <c r="T104" s="93"/>
      <c r="U104" s="94"/>
      <c r="V104" s="93"/>
      <c r="W104" s="94"/>
      <c r="X104" s="93"/>
      <c r="Y104" s="94"/>
      <c r="Z104" s="93"/>
      <c r="AA104" s="93"/>
      <c r="AB104" s="93"/>
      <c r="AC104" s="93"/>
      <c r="AD104" s="93"/>
      <c r="AE104" s="93"/>
      <c r="AF104" s="93"/>
      <c r="AG104" s="93"/>
      <c r="AH104" s="94"/>
      <c r="AI104" s="93"/>
      <c r="AJ104" s="94"/>
      <c r="AK104" s="94"/>
      <c r="AL104" s="94"/>
      <c r="AM104" s="94"/>
      <c r="AN104" s="94"/>
      <c r="AO104" s="94"/>
      <c r="AP104" s="94"/>
      <c r="AQ104" s="94"/>
      <c r="AR104" s="86"/>
    </row>
    <row r="105" spans="1:44" x14ac:dyDescent="0.25">
      <c r="A105" s="96" t="str">
        <f>Requirment[[#This Row],[Production]]&amp;"_"&amp;Requirment[[#This Row],[Scenarios ]]&amp;"_"&amp;Requirment[[#This Row],[Nb phasis]]&amp;"_"&amp;Requirment[[#This Row],[Formula_Name]]</f>
        <v>___</v>
      </c>
      <c r="B105" s="102" t="str">
        <f>Requirment[[#This Row],[Production]]&amp;"_"&amp;Requirment[[#This Row],[Scenarios ]]&amp;"_"&amp;Requirment[[#This Row],[Nb phasis]]</f>
        <v>__</v>
      </c>
      <c r="C105" s="96"/>
      <c r="D105" s="96"/>
      <c r="E105" s="97"/>
      <c r="F105" s="98"/>
      <c r="G105" s="97"/>
      <c r="H105" s="96"/>
      <c r="I105" s="97"/>
      <c r="J105" s="93"/>
      <c r="K105" s="93"/>
      <c r="L105" s="93"/>
      <c r="M105" s="93"/>
      <c r="N105" s="93"/>
      <c r="O105" s="93"/>
      <c r="P105" s="93"/>
      <c r="Q105" s="94"/>
      <c r="R105" s="93"/>
      <c r="S105" s="94"/>
      <c r="T105" s="93"/>
      <c r="U105" s="94"/>
      <c r="V105" s="93"/>
      <c r="W105" s="94"/>
      <c r="X105" s="93"/>
      <c r="Y105" s="94"/>
      <c r="Z105" s="93"/>
      <c r="AA105" s="93"/>
      <c r="AB105" s="93"/>
      <c r="AC105" s="93"/>
      <c r="AD105" s="93"/>
      <c r="AE105" s="93"/>
      <c r="AF105" s="93"/>
      <c r="AG105" s="93"/>
      <c r="AH105" s="94"/>
      <c r="AI105" s="93"/>
      <c r="AJ105" s="94"/>
      <c r="AK105" s="94"/>
      <c r="AL105" s="94"/>
      <c r="AM105" s="94"/>
      <c r="AN105" s="94"/>
      <c r="AO105" s="94"/>
      <c r="AP105" s="94"/>
      <c r="AQ105" s="94"/>
      <c r="AR105" s="86"/>
    </row>
    <row r="106" spans="1:44" x14ac:dyDescent="0.25">
      <c r="A106" s="96" t="str">
        <f>Requirment[[#This Row],[Production]]&amp;"_"&amp;Requirment[[#This Row],[Scenarios ]]&amp;"_"&amp;Requirment[[#This Row],[Nb phasis]]&amp;"_"&amp;Requirment[[#This Row],[Formula_Name]]</f>
        <v>___</v>
      </c>
      <c r="B106" s="102" t="str">
        <f>Requirment[[#This Row],[Production]]&amp;"_"&amp;Requirment[[#This Row],[Scenarios ]]&amp;"_"&amp;Requirment[[#This Row],[Nb phasis]]</f>
        <v>__</v>
      </c>
      <c r="C106" s="96"/>
      <c r="D106" s="96"/>
      <c r="E106" s="97"/>
      <c r="F106" s="98"/>
      <c r="G106" s="97"/>
      <c r="H106" s="96"/>
      <c r="I106" s="97"/>
      <c r="J106" s="93"/>
      <c r="K106" s="93"/>
      <c r="L106" s="93"/>
      <c r="M106" s="93"/>
      <c r="N106" s="93"/>
      <c r="O106" s="93"/>
      <c r="P106" s="93"/>
      <c r="Q106" s="94"/>
      <c r="R106" s="93"/>
      <c r="S106" s="94"/>
      <c r="T106" s="93"/>
      <c r="U106" s="94"/>
      <c r="V106" s="93"/>
      <c r="W106" s="94"/>
      <c r="X106" s="93"/>
      <c r="Y106" s="94"/>
      <c r="Z106" s="93"/>
      <c r="AA106" s="93"/>
      <c r="AB106" s="93"/>
      <c r="AC106" s="93"/>
      <c r="AD106" s="93"/>
      <c r="AE106" s="93"/>
      <c r="AF106" s="93"/>
      <c r="AG106" s="93"/>
      <c r="AH106" s="94"/>
      <c r="AI106" s="93"/>
      <c r="AJ106" s="94"/>
      <c r="AK106" s="94"/>
      <c r="AL106" s="94"/>
      <c r="AM106" s="94"/>
      <c r="AN106" s="94"/>
      <c r="AO106" s="94"/>
      <c r="AP106" s="94"/>
      <c r="AQ106" s="94"/>
      <c r="AR106" s="86"/>
    </row>
    <row r="107" spans="1:44" x14ac:dyDescent="0.25">
      <c r="A107" s="96" t="str">
        <f>Requirment[[#This Row],[Production]]&amp;"_"&amp;Requirment[[#This Row],[Scenarios ]]&amp;"_"&amp;Requirment[[#This Row],[Nb phasis]]&amp;"_"&amp;Requirment[[#This Row],[Formula_Name]]</f>
        <v>___</v>
      </c>
      <c r="B107" s="102" t="str">
        <f>Requirment[[#This Row],[Production]]&amp;"_"&amp;Requirment[[#This Row],[Scenarios ]]&amp;"_"&amp;Requirment[[#This Row],[Nb phasis]]</f>
        <v>__</v>
      </c>
      <c r="C107" s="96"/>
      <c r="D107" s="96"/>
      <c r="E107" s="97"/>
      <c r="F107" s="98"/>
      <c r="G107" s="97"/>
      <c r="H107" s="96"/>
      <c r="I107" s="97"/>
      <c r="J107" s="93"/>
      <c r="K107" s="93"/>
      <c r="L107" s="93"/>
      <c r="M107" s="93"/>
      <c r="N107" s="93"/>
      <c r="O107" s="93"/>
      <c r="P107" s="93"/>
      <c r="Q107" s="94"/>
      <c r="R107" s="93"/>
      <c r="S107" s="94"/>
      <c r="T107" s="93"/>
      <c r="U107" s="94"/>
      <c r="V107" s="93"/>
      <c r="W107" s="94"/>
      <c r="X107" s="93"/>
      <c r="Y107" s="94"/>
      <c r="Z107" s="93"/>
      <c r="AA107" s="93"/>
      <c r="AB107" s="93"/>
      <c r="AC107" s="93"/>
      <c r="AD107" s="93"/>
      <c r="AE107" s="93"/>
      <c r="AF107" s="93"/>
      <c r="AG107" s="93"/>
      <c r="AH107" s="94"/>
      <c r="AI107" s="93"/>
      <c r="AJ107" s="94"/>
      <c r="AK107" s="94"/>
      <c r="AL107" s="94"/>
      <c r="AM107" s="94"/>
      <c r="AN107" s="94"/>
      <c r="AO107" s="94"/>
      <c r="AP107" s="94"/>
      <c r="AQ107" s="94"/>
      <c r="AR107" s="86"/>
    </row>
    <row r="108" spans="1:44" x14ac:dyDescent="0.25">
      <c r="A108" s="96" t="str">
        <f>Requirment[[#This Row],[Production]]&amp;"_"&amp;Requirment[[#This Row],[Scenarios ]]&amp;"_"&amp;Requirment[[#This Row],[Nb phasis]]&amp;"_"&amp;Requirment[[#This Row],[Formula_Name]]</f>
        <v>___</v>
      </c>
      <c r="B108" s="102" t="str">
        <f>Requirment[[#This Row],[Production]]&amp;"_"&amp;Requirment[[#This Row],[Scenarios ]]&amp;"_"&amp;Requirment[[#This Row],[Nb phasis]]</f>
        <v>__</v>
      </c>
      <c r="C108" s="96"/>
      <c r="D108" s="96"/>
      <c r="E108" s="97"/>
      <c r="F108" s="98"/>
      <c r="G108" s="97"/>
      <c r="H108" s="96"/>
      <c r="I108" s="97"/>
      <c r="J108" s="93"/>
      <c r="K108" s="93"/>
      <c r="L108" s="93"/>
      <c r="M108" s="93"/>
      <c r="N108" s="93"/>
      <c r="O108" s="93"/>
      <c r="P108" s="93"/>
      <c r="Q108" s="94"/>
      <c r="R108" s="93"/>
      <c r="S108" s="94"/>
      <c r="T108" s="93"/>
      <c r="U108" s="94"/>
      <c r="V108" s="93"/>
      <c r="W108" s="94"/>
      <c r="X108" s="93"/>
      <c r="Y108" s="94"/>
      <c r="Z108" s="93"/>
      <c r="AA108" s="93"/>
      <c r="AB108" s="93"/>
      <c r="AC108" s="93"/>
      <c r="AD108" s="93"/>
      <c r="AE108" s="93"/>
      <c r="AF108" s="93"/>
      <c r="AG108" s="93"/>
      <c r="AH108" s="94"/>
      <c r="AI108" s="93"/>
      <c r="AJ108" s="94"/>
      <c r="AK108" s="94"/>
      <c r="AL108" s="94"/>
      <c r="AM108" s="94"/>
      <c r="AN108" s="94"/>
      <c r="AO108" s="94"/>
      <c r="AP108" s="94"/>
      <c r="AQ108" s="94"/>
      <c r="AR108" s="86"/>
    </row>
    <row r="109" spans="1:44" x14ac:dyDescent="0.25">
      <c r="A109" s="96" t="str">
        <f>Requirment[[#This Row],[Production]]&amp;"_"&amp;Requirment[[#This Row],[Scenarios ]]&amp;"_"&amp;Requirment[[#This Row],[Nb phasis]]&amp;"_"&amp;Requirment[[#This Row],[Formula_Name]]</f>
        <v>___</v>
      </c>
      <c r="B109" s="102" t="str">
        <f>Requirment[[#This Row],[Production]]&amp;"_"&amp;Requirment[[#This Row],[Scenarios ]]&amp;"_"&amp;Requirment[[#This Row],[Nb phasis]]</f>
        <v>__</v>
      </c>
      <c r="C109" s="96"/>
      <c r="D109" s="96"/>
      <c r="E109" s="97"/>
      <c r="F109" s="98"/>
      <c r="G109" s="97"/>
      <c r="H109" s="96"/>
      <c r="I109" s="97"/>
      <c r="J109" s="93"/>
      <c r="K109" s="93"/>
      <c r="L109" s="93"/>
      <c r="M109" s="93"/>
      <c r="N109" s="93"/>
      <c r="O109" s="93"/>
      <c r="P109" s="93"/>
      <c r="Q109" s="94"/>
      <c r="R109" s="93"/>
      <c r="S109" s="94"/>
      <c r="T109" s="93"/>
      <c r="U109" s="94"/>
      <c r="V109" s="93"/>
      <c r="W109" s="94"/>
      <c r="X109" s="93"/>
      <c r="Y109" s="94"/>
      <c r="Z109" s="93"/>
      <c r="AA109" s="93"/>
      <c r="AB109" s="93"/>
      <c r="AC109" s="93"/>
      <c r="AD109" s="93"/>
      <c r="AE109" s="93"/>
      <c r="AF109" s="93"/>
      <c r="AG109" s="93"/>
      <c r="AH109" s="94"/>
      <c r="AI109" s="93"/>
      <c r="AJ109" s="94"/>
      <c r="AK109" s="94"/>
      <c r="AL109" s="94"/>
      <c r="AM109" s="94"/>
      <c r="AN109" s="94"/>
      <c r="AO109" s="94"/>
      <c r="AP109" s="94"/>
      <c r="AQ109" s="94"/>
      <c r="AR109" s="86"/>
    </row>
    <row r="110" spans="1:44" x14ac:dyDescent="0.25">
      <c r="A110" s="96" t="str">
        <f>Requirment[[#This Row],[Production]]&amp;"_"&amp;Requirment[[#This Row],[Scenarios ]]&amp;"_"&amp;Requirment[[#This Row],[Nb phasis]]&amp;"_"&amp;Requirment[[#This Row],[Formula_Name]]</f>
        <v>___</v>
      </c>
      <c r="B110" s="102" t="str">
        <f>Requirment[[#This Row],[Production]]&amp;"_"&amp;Requirment[[#This Row],[Scenarios ]]&amp;"_"&amp;Requirment[[#This Row],[Nb phasis]]</f>
        <v>__</v>
      </c>
      <c r="C110" s="96"/>
      <c r="D110" s="96"/>
      <c r="E110" s="97"/>
      <c r="F110" s="98"/>
      <c r="G110" s="97"/>
      <c r="H110" s="96"/>
      <c r="I110" s="97"/>
      <c r="J110" s="93"/>
      <c r="K110" s="93"/>
      <c r="L110" s="93"/>
      <c r="M110" s="93"/>
      <c r="N110" s="93"/>
      <c r="O110" s="93"/>
      <c r="P110" s="93"/>
      <c r="Q110" s="94"/>
      <c r="R110" s="93"/>
      <c r="S110" s="94"/>
      <c r="T110" s="93"/>
      <c r="U110" s="94"/>
      <c r="V110" s="93"/>
      <c r="W110" s="94"/>
      <c r="X110" s="93"/>
      <c r="Y110" s="94"/>
      <c r="Z110" s="93"/>
      <c r="AA110" s="93"/>
      <c r="AB110" s="93"/>
      <c r="AC110" s="93"/>
      <c r="AD110" s="93"/>
      <c r="AE110" s="93"/>
      <c r="AF110" s="93"/>
      <c r="AG110" s="93"/>
      <c r="AH110" s="94"/>
      <c r="AI110" s="93"/>
      <c r="AJ110" s="94"/>
      <c r="AK110" s="94"/>
      <c r="AL110" s="94"/>
      <c r="AM110" s="94"/>
      <c r="AN110" s="94"/>
      <c r="AO110" s="94"/>
      <c r="AP110" s="94"/>
      <c r="AQ110" s="94"/>
      <c r="AR110" s="86"/>
    </row>
    <row r="111" spans="1:44" x14ac:dyDescent="0.25">
      <c r="A111" s="96" t="str">
        <f>Requirment[[#This Row],[Production]]&amp;"_"&amp;Requirment[[#This Row],[Scenarios ]]&amp;"_"&amp;Requirment[[#This Row],[Nb phasis]]&amp;"_"&amp;Requirment[[#This Row],[Formula_Name]]</f>
        <v>___</v>
      </c>
      <c r="B111" s="102" t="str">
        <f>Requirment[[#This Row],[Production]]&amp;"_"&amp;Requirment[[#This Row],[Scenarios ]]&amp;"_"&amp;Requirment[[#This Row],[Nb phasis]]</f>
        <v>__</v>
      </c>
      <c r="C111" s="96"/>
      <c r="D111" s="96"/>
      <c r="E111" s="97"/>
      <c r="F111" s="98"/>
      <c r="G111" s="97"/>
      <c r="H111" s="96"/>
      <c r="I111" s="97"/>
      <c r="J111" s="93"/>
      <c r="K111" s="93"/>
      <c r="L111" s="93"/>
      <c r="M111" s="93"/>
      <c r="N111" s="93"/>
      <c r="O111" s="93"/>
      <c r="P111" s="93"/>
      <c r="Q111" s="94"/>
      <c r="R111" s="93"/>
      <c r="S111" s="94"/>
      <c r="T111" s="93"/>
      <c r="U111" s="94"/>
      <c r="V111" s="93"/>
      <c r="W111" s="94"/>
      <c r="X111" s="93"/>
      <c r="Y111" s="94"/>
      <c r="Z111" s="93"/>
      <c r="AA111" s="93"/>
      <c r="AB111" s="93"/>
      <c r="AC111" s="93"/>
      <c r="AD111" s="93"/>
      <c r="AE111" s="93"/>
      <c r="AF111" s="93"/>
      <c r="AG111" s="93"/>
      <c r="AH111" s="94"/>
      <c r="AI111" s="93"/>
      <c r="AJ111" s="94"/>
      <c r="AK111" s="94"/>
      <c r="AL111" s="94"/>
      <c r="AM111" s="94"/>
      <c r="AN111" s="94"/>
      <c r="AO111" s="94"/>
      <c r="AP111" s="94"/>
      <c r="AQ111" s="94"/>
      <c r="AR111" s="86"/>
    </row>
    <row r="112" spans="1:44" x14ac:dyDescent="0.25">
      <c r="A112" s="96" t="str">
        <f>Requirment[[#This Row],[Production]]&amp;"_"&amp;Requirment[[#This Row],[Scenarios ]]&amp;"_"&amp;Requirment[[#This Row],[Nb phasis]]&amp;"_"&amp;Requirment[[#This Row],[Formula_Name]]</f>
        <v>___</v>
      </c>
      <c r="B112" s="102" t="str">
        <f>Requirment[[#This Row],[Production]]&amp;"_"&amp;Requirment[[#This Row],[Scenarios ]]&amp;"_"&amp;Requirment[[#This Row],[Nb phasis]]</f>
        <v>__</v>
      </c>
      <c r="C112" s="96"/>
      <c r="D112" s="96"/>
      <c r="E112" s="97"/>
      <c r="F112" s="98"/>
      <c r="G112" s="97"/>
      <c r="H112" s="96"/>
      <c r="I112" s="97"/>
      <c r="J112" s="93"/>
      <c r="K112" s="93"/>
      <c r="L112" s="93"/>
      <c r="M112" s="93"/>
      <c r="N112" s="93"/>
      <c r="O112" s="93"/>
      <c r="P112" s="93"/>
      <c r="Q112" s="94"/>
      <c r="R112" s="93"/>
      <c r="S112" s="94"/>
      <c r="T112" s="93"/>
      <c r="U112" s="94"/>
      <c r="V112" s="93"/>
      <c r="W112" s="94"/>
      <c r="X112" s="93"/>
      <c r="Y112" s="94"/>
      <c r="Z112" s="93"/>
      <c r="AA112" s="93"/>
      <c r="AB112" s="93"/>
      <c r="AC112" s="93"/>
      <c r="AD112" s="93"/>
      <c r="AE112" s="93"/>
      <c r="AF112" s="93"/>
      <c r="AG112" s="93"/>
      <c r="AH112" s="94"/>
      <c r="AI112" s="93"/>
      <c r="AJ112" s="94"/>
      <c r="AK112" s="94"/>
      <c r="AL112" s="94"/>
      <c r="AM112" s="94"/>
      <c r="AN112" s="94"/>
      <c r="AO112" s="94"/>
      <c r="AP112" s="94"/>
      <c r="AQ112" s="94"/>
      <c r="AR112" s="86"/>
    </row>
    <row r="113" spans="1:44" x14ac:dyDescent="0.25">
      <c r="A113" s="96" t="str">
        <f>Requirment[[#This Row],[Production]]&amp;"_"&amp;Requirment[[#This Row],[Scenarios ]]&amp;"_"&amp;Requirment[[#This Row],[Nb phasis]]&amp;"_"&amp;Requirment[[#This Row],[Formula_Name]]</f>
        <v>___</v>
      </c>
      <c r="B113" s="102" t="str">
        <f>Requirment[[#This Row],[Production]]&amp;"_"&amp;Requirment[[#This Row],[Scenarios ]]&amp;"_"&amp;Requirment[[#This Row],[Nb phasis]]</f>
        <v>__</v>
      </c>
      <c r="C113" s="96"/>
      <c r="D113" s="96"/>
      <c r="E113" s="97"/>
      <c r="F113" s="98"/>
      <c r="G113" s="97"/>
      <c r="H113" s="96"/>
      <c r="I113" s="97"/>
      <c r="J113" s="93"/>
      <c r="K113" s="93"/>
      <c r="L113" s="93"/>
      <c r="M113" s="93"/>
      <c r="N113" s="93"/>
      <c r="O113" s="93"/>
      <c r="P113" s="93"/>
      <c r="Q113" s="94"/>
      <c r="R113" s="93"/>
      <c r="S113" s="94"/>
      <c r="T113" s="93"/>
      <c r="U113" s="94"/>
      <c r="V113" s="93"/>
      <c r="W113" s="94"/>
      <c r="X113" s="93"/>
      <c r="Y113" s="94"/>
      <c r="Z113" s="93"/>
      <c r="AA113" s="93"/>
      <c r="AB113" s="93"/>
      <c r="AC113" s="93"/>
      <c r="AD113" s="93"/>
      <c r="AE113" s="93"/>
      <c r="AF113" s="93"/>
      <c r="AG113" s="93"/>
      <c r="AH113" s="94"/>
      <c r="AI113" s="93"/>
      <c r="AJ113" s="94"/>
      <c r="AK113" s="94"/>
      <c r="AL113" s="94"/>
      <c r="AM113" s="94"/>
      <c r="AN113" s="94"/>
      <c r="AO113" s="94"/>
      <c r="AP113" s="94"/>
      <c r="AQ113" s="94"/>
      <c r="AR113" s="86"/>
    </row>
    <row r="114" spans="1:44" x14ac:dyDescent="0.25">
      <c r="A114" s="96" t="str">
        <f>Requirment[[#This Row],[Production]]&amp;"_"&amp;Requirment[[#This Row],[Scenarios ]]&amp;"_"&amp;Requirment[[#This Row],[Nb phasis]]&amp;"_"&amp;Requirment[[#This Row],[Formula_Name]]</f>
        <v>___</v>
      </c>
      <c r="B114" s="102" t="str">
        <f>Requirment[[#This Row],[Production]]&amp;"_"&amp;Requirment[[#This Row],[Scenarios ]]&amp;"_"&amp;Requirment[[#This Row],[Nb phasis]]</f>
        <v>__</v>
      </c>
      <c r="C114" s="96"/>
      <c r="D114" s="96"/>
      <c r="E114" s="97"/>
      <c r="F114" s="98"/>
      <c r="G114" s="97"/>
      <c r="H114" s="96"/>
      <c r="I114" s="97"/>
      <c r="J114" s="93"/>
      <c r="K114" s="93"/>
      <c r="L114" s="93"/>
      <c r="M114" s="93"/>
      <c r="N114" s="93"/>
      <c r="O114" s="93"/>
      <c r="P114" s="93"/>
      <c r="Q114" s="94"/>
      <c r="R114" s="93"/>
      <c r="S114" s="94"/>
      <c r="T114" s="93"/>
      <c r="U114" s="94"/>
      <c r="V114" s="93"/>
      <c r="W114" s="94"/>
      <c r="X114" s="93"/>
      <c r="Y114" s="94"/>
      <c r="Z114" s="93"/>
      <c r="AA114" s="93"/>
      <c r="AB114" s="93"/>
      <c r="AC114" s="93"/>
      <c r="AD114" s="93"/>
      <c r="AE114" s="93"/>
      <c r="AF114" s="93"/>
      <c r="AG114" s="93"/>
      <c r="AH114" s="94"/>
      <c r="AI114" s="93"/>
      <c r="AJ114" s="94"/>
      <c r="AK114" s="94"/>
      <c r="AL114" s="94"/>
      <c r="AM114" s="94"/>
      <c r="AN114" s="94"/>
      <c r="AO114" s="94"/>
      <c r="AP114" s="94"/>
      <c r="AQ114" s="94"/>
      <c r="AR114" s="86"/>
    </row>
    <row r="115" spans="1:44" x14ac:dyDescent="0.25">
      <c r="A115" s="96" t="str">
        <f>Requirment[[#This Row],[Production]]&amp;"_"&amp;Requirment[[#This Row],[Scenarios ]]&amp;"_"&amp;Requirment[[#This Row],[Nb phasis]]&amp;"_"&amp;Requirment[[#This Row],[Formula_Name]]</f>
        <v>___</v>
      </c>
      <c r="B115" s="102" t="str">
        <f>Requirment[[#This Row],[Production]]&amp;"_"&amp;Requirment[[#This Row],[Scenarios ]]&amp;"_"&amp;Requirment[[#This Row],[Nb phasis]]</f>
        <v>__</v>
      </c>
      <c r="C115" s="96"/>
      <c r="D115" s="96"/>
      <c r="E115" s="97"/>
      <c r="F115" s="98"/>
      <c r="G115" s="97"/>
      <c r="H115" s="96"/>
      <c r="I115" s="97"/>
      <c r="J115" s="93"/>
      <c r="K115" s="93"/>
      <c r="L115" s="93"/>
      <c r="M115" s="93"/>
      <c r="N115" s="93"/>
      <c r="O115" s="93"/>
      <c r="P115" s="93"/>
      <c r="Q115" s="94"/>
      <c r="R115" s="93"/>
      <c r="S115" s="94"/>
      <c r="T115" s="93"/>
      <c r="U115" s="94"/>
      <c r="V115" s="93"/>
      <c r="W115" s="94"/>
      <c r="X115" s="93"/>
      <c r="Y115" s="94"/>
      <c r="Z115" s="93"/>
      <c r="AA115" s="93"/>
      <c r="AB115" s="93"/>
      <c r="AC115" s="93"/>
      <c r="AD115" s="93"/>
      <c r="AE115" s="93"/>
      <c r="AF115" s="93"/>
      <c r="AG115" s="93"/>
      <c r="AH115" s="94"/>
      <c r="AI115" s="93"/>
      <c r="AJ115" s="94"/>
      <c r="AK115" s="94"/>
      <c r="AL115" s="94"/>
      <c r="AM115" s="94"/>
      <c r="AN115" s="94"/>
      <c r="AO115" s="94"/>
      <c r="AP115" s="94"/>
      <c r="AQ115" s="94"/>
      <c r="AR115" s="86"/>
    </row>
    <row r="116" spans="1:44" x14ac:dyDescent="0.25">
      <c r="A116" s="96" t="str">
        <f>Requirment[[#This Row],[Production]]&amp;"_"&amp;Requirment[[#This Row],[Scenarios ]]&amp;"_"&amp;Requirment[[#This Row],[Nb phasis]]&amp;"_"&amp;Requirment[[#This Row],[Formula_Name]]</f>
        <v>___</v>
      </c>
      <c r="B116" s="102" t="str">
        <f>Requirment[[#This Row],[Production]]&amp;"_"&amp;Requirment[[#This Row],[Scenarios ]]&amp;"_"&amp;Requirment[[#This Row],[Nb phasis]]</f>
        <v>__</v>
      </c>
      <c r="C116" s="96"/>
      <c r="D116" s="96"/>
      <c r="E116" s="97"/>
      <c r="F116" s="98"/>
      <c r="G116" s="97"/>
      <c r="H116" s="96"/>
      <c r="I116" s="97"/>
      <c r="J116" s="93"/>
      <c r="K116" s="93"/>
      <c r="L116" s="93"/>
      <c r="M116" s="93"/>
      <c r="N116" s="93"/>
      <c r="O116" s="93"/>
      <c r="P116" s="93"/>
      <c r="Q116" s="94"/>
      <c r="R116" s="93"/>
      <c r="S116" s="94"/>
      <c r="T116" s="93"/>
      <c r="U116" s="94"/>
      <c r="V116" s="93"/>
      <c r="W116" s="94"/>
      <c r="X116" s="93"/>
      <c r="Y116" s="94"/>
      <c r="Z116" s="93"/>
      <c r="AA116" s="93"/>
      <c r="AB116" s="93"/>
      <c r="AC116" s="93"/>
      <c r="AD116" s="93"/>
      <c r="AE116" s="93"/>
      <c r="AF116" s="93"/>
      <c r="AG116" s="93"/>
      <c r="AH116" s="94"/>
      <c r="AI116" s="93"/>
      <c r="AJ116" s="94"/>
      <c r="AK116" s="94"/>
      <c r="AL116" s="94"/>
      <c r="AM116" s="94"/>
      <c r="AN116" s="94"/>
      <c r="AO116" s="94"/>
      <c r="AP116" s="94"/>
      <c r="AQ116" s="94"/>
      <c r="AR116" s="86"/>
    </row>
    <row r="117" spans="1:44" x14ac:dyDescent="0.25">
      <c r="A117" s="96" t="str">
        <f>Requirment[[#This Row],[Production]]&amp;"_"&amp;Requirment[[#This Row],[Scenarios ]]&amp;"_"&amp;Requirment[[#This Row],[Nb phasis]]&amp;"_"&amp;Requirment[[#This Row],[Formula_Name]]</f>
        <v>___</v>
      </c>
      <c r="B117" s="102" t="str">
        <f>Requirment[[#This Row],[Production]]&amp;"_"&amp;Requirment[[#This Row],[Scenarios ]]&amp;"_"&amp;Requirment[[#This Row],[Nb phasis]]</f>
        <v>__</v>
      </c>
      <c r="C117" s="96"/>
      <c r="D117" s="96"/>
      <c r="E117" s="97"/>
      <c r="F117" s="98"/>
      <c r="G117" s="97"/>
      <c r="H117" s="96"/>
      <c r="I117" s="97"/>
      <c r="J117" s="93"/>
      <c r="K117" s="93"/>
      <c r="L117" s="93"/>
      <c r="M117" s="93"/>
      <c r="N117" s="93"/>
      <c r="O117" s="93"/>
      <c r="P117" s="93"/>
      <c r="Q117" s="94"/>
      <c r="R117" s="93"/>
      <c r="S117" s="94"/>
      <c r="T117" s="93"/>
      <c r="U117" s="94"/>
      <c r="V117" s="93"/>
      <c r="W117" s="94"/>
      <c r="X117" s="93"/>
      <c r="Y117" s="94"/>
      <c r="Z117" s="93"/>
      <c r="AA117" s="93"/>
      <c r="AB117" s="93"/>
      <c r="AC117" s="93"/>
      <c r="AD117" s="93"/>
      <c r="AE117" s="93"/>
      <c r="AF117" s="93"/>
      <c r="AG117" s="93"/>
      <c r="AH117" s="94"/>
      <c r="AI117" s="93"/>
      <c r="AJ117" s="94"/>
      <c r="AK117" s="94"/>
      <c r="AL117" s="94"/>
      <c r="AM117" s="94"/>
      <c r="AN117" s="94"/>
      <c r="AO117" s="94"/>
      <c r="AP117" s="94"/>
      <c r="AQ117" s="94"/>
      <c r="AR117" s="86"/>
    </row>
    <row r="118" spans="1:44" x14ac:dyDescent="0.25">
      <c r="A118" s="96" t="str">
        <f>Requirment[[#This Row],[Production]]&amp;"_"&amp;Requirment[[#This Row],[Scenarios ]]&amp;"_"&amp;Requirment[[#This Row],[Nb phasis]]&amp;"_"&amp;Requirment[[#This Row],[Formula_Name]]</f>
        <v>___</v>
      </c>
      <c r="B118" s="102" t="str">
        <f>Requirment[[#This Row],[Production]]&amp;"_"&amp;Requirment[[#This Row],[Scenarios ]]&amp;"_"&amp;Requirment[[#This Row],[Nb phasis]]</f>
        <v>__</v>
      </c>
      <c r="C118" s="96"/>
      <c r="D118" s="96"/>
      <c r="E118" s="97"/>
      <c r="F118" s="98"/>
      <c r="G118" s="97"/>
      <c r="H118" s="96"/>
      <c r="I118" s="97"/>
      <c r="J118" s="93"/>
      <c r="K118" s="93"/>
      <c r="L118" s="93"/>
      <c r="M118" s="93"/>
      <c r="N118" s="93"/>
      <c r="O118" s="93"/>
      <c r="P118" s="93"/>
      <c r="Q118" s="94"/>
      <c r="R118" s="93"/>
      <c r="S118" s="94"/>
      <c r="T118" s="93"/>
      <c r="U118" s="94"/>
      <c r="V118" s="93"/>
      <c r="W118" s="94"/>
      <c r="X118" s="93"/>
      <c r="Y118" s="94"/>
      <c r="Z118" s="93"/>
      <c r="AA118" s="93"/>
      <c r="AB118" s="93"/>
      <c r="AC118" s="93"/>
      <c r="AD118" s="93"/>
      <c r="AE118" s="93"/>
      <c r="AF118" s="93"/>
      <c r="AG118" s="93"/>
      <c r="AH118" s="94"/>
      <c r="AI118" s="93"/>
      <c r="AJ118" s="94"/>
      <c r="AK118" s="94"/>
      <c r="AL118" s="94"/>
      <c r="AM118" s="94"/>
      <c r="AN118" s="94"/>
      <c r="AO118" s="94"/>
      <c r="AP118" s="94"/>
      <c r="AQ118" s="94"/>
      <c r="AR118" s="86"/>
    </row>
    <row r="119" spans="1:44" x14ac:dyDescent="0.25">
      <c r="A119" s="96" t="str">
        <f>Requirment[[#This Row],[Production]]&amp;"_"&amp;Requirment[[#This Row],[Scenarios ]]&amp;"_"&amp;Requirment[[#This Row],[Nb phasis]]&amp;"_"&amp;Requirment[[#This Row],[Formula_Name]]</f>
        <v>___</v>
      </c>
      <c r="B119" s="102" t="str">
        <f>Requirment[[#This Row],[Production]]&amp;"_"&amp;Requirment[[#This Row],[Scenarios ]]&amp;"_"&amp;Requirment[[#This Row],[Nb phasis]]</f>
        <v>__</v>
      </c>
      <c r="C119" s="96"/>
      <c r="D119" s="96"/>
      <c r="E119" s="97"/>
      <c r="F119" s="98"/>
      <c r="G119" s="97"/>
      <c r="H119" s="96"/>
      <c r="I119" s="97"/>
      <c r="J119" s="93"/>
      <c r="K119" s="93"/>
      <c r="L119" s="93"/>
      <c r="M119" s="93"/>
      <c r="N119" s="93"/>
      <c r="O119" s="93"/>
      <c r="P119" s="93"/>
      <c r="Q119" s="94"/>
      <c r="R119" s="93"/>
      <c r="S119" s="94"/>
      <c r="T119" s="93"/>
      <c r="U119" s="94"/>
      <c r="V119" s="93"/>
      <c r="W119" s="94"/>
      <c r="X119" s="93"/>
      <c r="Y119" s="94"/>
      <c r="Z119" s="93"/>
      <c r="AA119" s="93"/>
      <c r="AB119" s="93"/>
      <c r="AC119" s="93"/>
      <c r="AD119" s="93"/>
      <c r="AE119" s="93"/>
      <c r="AF119" s="93"/>
      <c r="AG119" s="93"/>
      <c r="AH119" s="94"/>
      <c r="AI119" s="93"/>
      <c r="AJ119" s="94"/>
      <c r="AK119" s="94"/>
      <c r="AL119" s="94"/>
      <c r="AM119" s="94"/>
      <c r="AN119" s="94"/>
      <c r="AO119" s="94"/>
      <c r="AP119" s="94"/>
      <c r="AQ119" s="94"/>
      <c r="AR119" s="86"/>
    </row>
    <row r="120" spans="1:44" x14ac:dyDescent="0.25">
      <c r="A120" s="96" t="str">
        <f>Requirment[[#This Row],[Production]]&amp;"_"&amp;Requirment[[#This Row],[Scenarios ]]&amp;"_"&amp;Requirment[[#This Row],[Nb phasis]]&amp;"_"&amp;Requirment[[#This Row],[Formula_Name]]</f>
        <v>___</v>
      </c>
      <c r="B120" s="102" t="str">
        <f>Requirment[[#This Row],[Production]]&amp;"_"&amp;Requirment[[#This Row],[Scenarios ]]&amp;"_"&amp;Requirment[[#This Row],[Nb phasis]]</f>
        <v>__</v>
      </c>
      <c r="C120" s="96"/>
      <c r="D120" s="96"/>
      <c r="E120" s="97"/>
      <c r="F120" s="98"/>
      <c r="G120" s="97"/>
      <c r="H120" s="96"/>
      <c r="I120" s="97"/>
      <c r="J120" s="93"/>
      <c r="K120" s="93"/>
      <c r="L120" s="93"/>
      <c r="M120" s="93"/>
      <c r="N120" s="93"/>
      <c r="O120" s="93"/>
      <c r="P120" s="93"/>
      <c r="Q120" s="94"/>
      <c r="R120" s="93"/>
      <c r="S120" s="94"/>
      <c r="T120" s="93"/>
      <c r="U120" s="94"/>
      <c r="V120" s="93"/>
      <c r="W120" s="94"/>
      <c r="X120" s="93"/>
      <c r="Y120" s="94"/>
      <c r="Z120" s="93"/>
      <c r="AA120" s="93"/>
      <c r="AB120" s="93"/>
      <c r="AC120" s="93"/>
      <c r="AD120" s="93"/>
      <c r="AE120" s="93"/>
      <c r="AF120" s="93"/>
      <c r="AG120" s="93"/>
      <c r="AH120" s="94"/>
      <c r="AI120" s="93"/>
      <c r="AJ120" s="94"/>
      <c r="AK120" s="94"/>
      <c r="AL120" s="94"/>
      <c r="AM120" s="94"/>
      <c r="AN120" s="94"/>
      <c r="AO120" s="94"/>
      <c r="AP120" s="94"/>
      <c r="AQ120" s="94"/>
      <c r="AR120" s="86"/>
    </row>
    <row r="121" spans="1:44" x14ac:dyDescent="0.25">
      <c r="A121" s="96" t="str">
        <f>Requirment[[#This Row],[Production]]&amp;"_"&amp;Requirment[[#This Row],[Scenarios ]]&amp;"_"&amp;Requirment[[#This Row],[Nb phasis]]&amp;"_"&amp;Requirment[[#This Row],[Formula_Name]]</f>
        <v>___</v>
      </c>
      <c r="B121" s="102" t="str">
        <f>Requirment[[#This Row],[Production]]&amp;"_"&amp;Requirment[[#This Row],[Scenarios ]]&amp;"_"&amp;Requirment[[#This Row],[Nb phasis]]</f>
        <v>__</v>
      </c>
      <c r="C121" s="96"/>
      <c r="D121" s="96"/>
      <c r="E121" s="97"/>
      <c r="F121" s="98"/>
      <c r="G121" s="97"/>
      <c r="H121" s="96"/>
      <c r="I121" s="97"/>
      <c r="J121" s="93"/>
      <c r="K121" s="93"/>
      <c r="L121" s="93"/>
      <c r="M121" s="93"/>
      <c r="N121" s="93"/>
      <c r="O121" s="93"/>
      <c r="P121" s="93"/>
      <c r="Q121" s="94"/>
      <c r="R121" s="93"/>
      <c r="S121" s="94"/>
      <c r="T121" s="93"/>
      <c r="U121" s="94"/>
      <c r="V121" s="93"/>
      <c r="W121" s="94"/>
      <c r="X121" s="93"/>
      <c r="Y121" s="94"/>
      <c r="Z121" s="93"/>
      <c r="AA121" s="93"/>
      <c r="AB121" s="93"/>
      <c r="AC121" s="93"/>
      <c r="AD121" s="93"/>
      <c r="AE121" s="93"/>
      <c r="AF121" s="93"/>
      <c r="AG121" s="93"/>
      <c r="AH121" s="94"/>
      <c r="AI121" s="93"/>
      <c r="AJ121" s="94"/>
      <c r="AK121" s="94"/>
      <c r="AL121" s="94"/>
      <c r="AM121" s="94"/>
      <c r="AN121" s="94"/>
      <c r="AO121" s="94"/>
      <c r="AP121" s="94"/>
      <c r="AQ121" s="94"/>
      <c r="AR121" s="86"/>
    </row>
    <row r="122" spans="1:44" x14ac:dyDescent="0.25">
      <c r="A122" s="96" t="str">
        <f>Requirment[[#This Row],[Production]]&amp;"_"&amp;Requirment[[#This Row],[Scenarios ]]&amp;"_"&amp;Requirment[[#This Row],[Nb phasis]]&amp;"_"&amp;Requirment[[#This Row],[Formula_Name]]</f>
        <v>___</v>
      </c>
      <c r="B122" s="102" t="str">
        <f>Requirment[[#This Row],[Production]]&amp;"_"&amp;Requirment[[#This Row],[Scenarios ]]&amp;"_"&amp;Requirment[[#This Row],[Nb phasis]]</f>
        <v>__</v>
      </c>
      <c r="C122" s="96"/>
      <c r="D122" s="96"/>
      <c r="E122" s="97"/>
      <c r="F122" s="98"/>
      <c r="G122" s="97"/>
      <c r="H122" s="96"/>
      <c r="I122" s="97"/>
      <c r="J122" s="93"/>
      <c r="K122" s="93"/>
      <c r="L122" s="93"/>
      <c r="M122" s="93"/>
      <c r="N122" s="93"/>
      <c r="O122" s="93"/>
      <c r="P122" s="93"/>
      <c r="Q122" s="94"/>
      <c r="R122" s="93"/>
      <c r="S122" s="94"/>
      <c r="T122" s="93"/>
      <c r="U122" s="94"/>
      <c r="V122" s="93"/>
      <c r="W122" s="94"/>
      <c r="X122" s="93"/>
      <c r="Y122" s="94"/>
      <c r="Z122" s="93"/>
      <c r="AA122" s="93"/>
      <c r="AB122" s="93"/>
      <c r="AC122" s="93"/>
      <c r="AD122" s="93"/>
      <c r="AE122" s="93"/>
      <c r="AF122" s="93"/>
      <c r="AG122" s="93"/>
      <c r="AH122" s="94"/>
      <c r="AI122" s="93"/>
      <c r="AJ122" s="94"/>
      <c r="AK122" s="94"/>
      <c r="AL122" s="94"/>
      <c r="AM122" s="94"/>
      <c r="AN122" s="94"/>
      <c r="AO122" s="94"/>
      <c r="AP122" s="94"/>
      <c r="AQ122" s="94"/>
      <c r="AR122" s="86"/>
    </row>
    <row r="123" spans="1:44" x14ac:dyDescent="0.25">
      <c r="A123" s="96" t="str">
        <f>Requirment[[#This Row],[Production]]&amp;"_"&amp;Requirment[[#This Row],[Scenarios ]]&amp;"_"&amp;Requirment[[#This Row],[Nb phasis]]&amp;"_"&amp;Requirment[[#This Row],[Formula_Name]]</f>
        <v>___</v>
      </c>
      <c r="B123" s="102" t="str">
        <f>Requirment[[#This Row],[Production]]&amp;"_"&amp;Requirment[[#This Row],[Scenarios ]]&amp;"_"&amp;Requirment[[#This Row],[Nb phasis]]</f>
        <v>__</v>
      </c>
      <c r="C123" s="96"/>
      <c r="D123" s="96"/>
      <c r="E123" s="97"/>
      <c r="F123" s="98"/>
      <c r="G123" s="97"/>
      <c r="H123" s="96"/>
      <c r="I123" s="97"/>
      <c r="J123" s="93"/>
      <c r="K123" s="93"/>
      <c r="L123" s="93"/>
      <c r="M123" s="93"/>
      <c r="N123" s="93"/>
      <c r="O123" s="93"/>
      <c r="P123" s="93"/>
      <c r="Q123" s="94"/>
      <c r="R123" s="93"/>
      <c r="S123" s="94"/>
      <c r="T123" s="93"/>
      <c r="U123" s="94"/>
      <c r="V123" s="93"/>
      <c r="W123" s="94"/>
      <c r="X123" s="93"/>
      <c r="Y123" s="94"/>
      <c r="Z123" s="93"/>
      <c r="AA123" s="93"/>
      <c r="AB123" s="93"/>
      <c r="AC123" s="93"/>
      <c r="AD123" s="93"/>
      <c r="AE123" s="93"/>
      <c r="AF123" s="93"/>
      <c r="AG123" s="93"/>
      <c r="AH123" s="94"/>
      <c r="AI123" s="93"/>
      <c r="AJ123" s="94"/>
      <c r="AK123" s="94"/>
      <c r="AL123" s="94"/>
      <c r="AM123" s="94"/>
      <c r="AN123" s="94"/>
      <c r="AO123" s="94"/>
      <c r="AP123" s="94"/>
      <c r="AQ123" s="94"/>
      <c r="AR123" s="86"/>
    </row>
    <row r="124" spans="1:44" x14ac:dyDescent="0.25">
      <c r="A124" s="96" t="str">
        <f>Requirment[[#This Row],[Production]]&amp;"_"&amp;Requirment[[#This Row],[Scenarios ]]&amp;"_"&amp;Requirment[[#This Row],[Nb phasis]]&amp;"_"&amp;Requirment[[#This Row],[Formula_Name]]</f>
        <v>___</v>
      </c>
      <c r="B124" s="102" t="str">
        <f>Requirment[[#This Row],[Production]]&amp;"_"&amp;Requirment[[#This Row],[Scenarios ]]&amp;"_"&amp;Requirment[[#This Row],[Nb phasis]]</f>
        <v>__</v>
      </c>
      <c r="C124" s="96"/>
      <c r="D124" s="96"/>
      <c r="E124" s="97"/>
      <c r="F124" s="98"/>
      <c r="G124" s="97"/>
      <c r="H124" s="96"/>
      <c r="I124" s="97"/>
      <c r="J124" s="93"/>
      <c r="K124" s="93"/>
      <c r="L124" s="93"/>
      <c r="M124" s="93"/>
      <c r="N124" s="93"/>
      <c r="O124" s="93"/>
      <c r="P124" s="93"/>
      <c r="Q124" s="94"/>
      <c r="R124" s="93"/>
      <c r="S124" s="94"/>
      <c r="T124" s="93"/>
      <c r="U124" s="94"/>
      <c r="V124" s="93"/>
      <c r="W124" s="94"/>
      <c r="X124" s="93"/>
      <c r="Y124" s="94"/>
      <c r="Z124" s="93"/>
      <c r="AA124" s="93"/>
      <c r="AB124" s="93"/>
      <c r="AC124" s="93"/>
      <c r="AD124" s="93"/>
      <c r="AE124" s="93"/>
      <c r="AF124" s="93"/>
      <c r="AG124" s="93"/>
      <c r="AH124" s="94"/>
      <c r="AI124" s="93"/>
      <c r="AJ124" s="94"/>
      <c r="AK124" s="94"/>
      <c r="AL124" s="94"/>
      <c r="AM124" s="94"/>
      <c r="AN124" s="94"/>
      <c r="AO124" s="94"/>
      <c r="AP124" s="94"/>
      <c r="AQ124" s="94"/>
      <c r="AR124" s="86"/>
    </row>
    <row r="125" spans="1:44" x14ac:dyDescent="0.25">
      <c r="A125" s="96" t="str">
        <f>Requirment[[#This Row],[Production]]&amp;"_"&amp;Requirment[[#This Row],[Scenarios ]]&amp;"_"&amp;Requirment[[#This Row],[Nb phasis]]&amp;"_"&amp;Requirment[[#This Row],[Formula_Name]]</f>
        <v>___</v>
      </c>
      <c r="B125" s="102" t="str">
        <f>Requirment[[#This Row],[Production]]&amp;"_"&amp;Requirment[[#This Row],[Scenarios ]]&amp;"_"&amp;Requirment[[#This Row],[Nb phasis]]</f>
        <v>__</v>
      </c>
      <c r="C125" s="96"/>
      <c r="D125" s="96"/>
      <c r="E125" s="97"/>
      <c r="F125" s="98"/>
      <c r="G125" s="97"/>
      <c r="H125" s="96"/>
      <c r="I125" s="97"/>
      <c r="J125" s="93"/>
      <c r="K125" s="93"/>
      <c r="L125" s="93"/>
      <c r="M125" s="93"/>
      <c r="N125" s="93"/>
      <c r="O125" s="93"/>
      <c r="P125" s="93"/>
      <c r="Q125" s="94"/>
      <c r="R125" s="93"/>
      <c r="S125" s="94"/>
      <c r="T125" s="93"/>
      <c r="U125" s="94"/>
      <c r="V125" s="93"/>
      <c r="W125" s="94"/>
      <c r="X125" s="93"/>
      <c r="Y125" s="94"/>
      <c r="Z125" s="93"/>
      <c r="AA125" s="93"/>
      <c r="AB125" s="93"/>
      <c r="AC125" s="93"/>
      <c r="AD125" s="93"/>
      <c r="AE125" s="93"/>
      <c r="AF125" s="93"/>
      <c r="AG125" s="93"/>
      <c r="AH125" s="94"/>
      <c r="AI125" s="93"/>
      <c r="AJ125" s="94"/>
      <c r="AK125" s="94"/>
      <c r="AL125" s="94"/>
      <c r="AM125" s="94"/>
      <c r="AN125" s="94"/>
      <c r="AO125" s="94"/>
      <c r="AP125" s="94"/>
      <c r="AQ125" s="94"/>
      <c r="AR125" s="86"/>
    </row>
    <row r="126" spans="1:44" x14ac:dyDescent="0.25">
      <c r="A126" s="96" t="str">
        <f>Requirment[[#This Row],[Production]]&amp;"_"&amp;Requirment[[#This Row],[Scenarios ]]&amp;"_"&amp;Requirment[[#This Row],[Nb phasis]]&amp;"_"&amp;Requirment[[#This Row],[Formula_Name]]</f>
        <v>___</v>
      </c>
      <c r="B126" s="102" t="str">
        <f>Requirment[[#This Row],[Production]]&amp;"_"&amp;Requirment[[#This Row],[Scenarios ]]&amp;"_"&amp;Requirment[[#This Row],[Nb phasis]]</f>
        <v>__</v>
      </c>
      <c r="C126" s="96"/>
      <c r="D126" s="96"/>
      <c r="E126" s="97"/>
      <c r="F126" s="98"/>
      <c r="G126" s="97"/>
      <c r="H126" s="96"/>
      <c r="I126" s="97"/>
      <c r="J126" s="93"/>
      <c r="K126" s="93"/>
      <c r="L126" s="93"/>
      <c r="M126" s="93"/>
      <c r="N126" s="93"/>
      <c r="O126" s="93"/>
      <c r="P126" s="93"/>
      <c r="Q126" s="94"/>
      <c r="R126" s="93"/>
      <c r="S126" s="94"/>
      <c r="T126" s="93"/>
      <c r="U126" s="94"/>
      <c r="V126" s="93"/>
      <c r="W126" s="94"/>
      <c r="X126" s="93"/>
      <c r="Y126" s="94"/>
      <c r="Z126" s="93"/>
      <c r="AA126" s="93"/>
      <c r="AB126" s="93"/>
      <c r="AC126" s="93"/>
      <c r="AD126" s="93"/>
      <c r="AE126" s="93"/>
      <c r="AF126" s="93"/>
      <c r="AG126" s="93"/>
      <c r="AH126" s="94"/>
      <c r="AI126" s="93"/>
      <c r="AJ126" s="94"/>
      <c r="AK126" s="94"/>
      <c r="AL126" s="94"/>
      <c r="AM126" s="94"/>
      <c r="AN126" s="94"/>
      <c r="AO126" s="94"/>
      <c r="AP126" s="94"/>
      <c r="AQ126" s="94"/>
      <c r="AR126" s="86"/>
    </row>
    <row r="127" spans="1:44" x14ac:dyDescent="0.25">
      <c r="A127" s="96" t="str">
        <f>Requirment[[#This Row],[Production]]&amp;"_"&amp;Requirment[[#This Row],[Scenarios ]]&amp;"_"&amp;Requirment[[#This Row],[Nb phasis]]&amp;"_"&amp;Requirment[[#This Row],[Formula_Name]]</f>
        <v>___</v>
      </c>
      <c r="B127" s="102" t="str">
        <f>Requirment[[#This Row],[Production]]&amp;"_"&amp;Requirment[[#This Row],[Scenarios ]]&amp;"_"&amp;Requirment[[#This Row],[Nb phasis]]</f>
        <v>__</v>
      </c>
      <c r="C127" s="96"/>
      <c r="D127" s="96"/>
      <c r="E127" s="97"/>
      <c r="F127" s="98"/>
      <c r="G127" s="97"/>
      <c r="H127" s="96"/>
      <c r="I127" s="97"/>
      <c r="J127" s="93"/>
      <c r="K127" s="93"/>
      <c r="L127" s="93"/>
      <c r="M127" s="93"/>
      <c r="N127" s="93"/>
      <c r="O127" s="93"/>
      <c r="P127" s="93"/>
      <c r="Q127" s="94"/>
      <c r="R127" s="93"/>
      <c r="S127" s="94"/>
      <c r="T127" s="93"/>
      <c r="U127" s="94"/>
      <c r="V127" s="93"/>
      <c r="W127" s="94"/>
      <c r="X127" s="93"/>
      <c r="Y127" s="94"/>
      <c r="Z127" s="93"/>
      <c r="AA127" s="93"/>
      <c r="AB127" s="93"/>
      <c r="AC127" s="93"/>
      <c r="AD127" s="93"/>
      <c r="AE127" s="93"/>
      <c r="AF127" s="93"/>
      <c r="AG127" s="93"/>
      <c r="AH127" s="94"/>
      <c r="AI127" s="93"/>
      <c r="AJ127" s="94"/>
      <c r="AK127" s="94"/>
      <c r="AL127" s="94"/>
      <c r="AM127" s="94"/>
      <c r="AN127" s="94"/>
      <c r="AO127" s="94"/>
      <c r="AP127" s="94"/>
      <c r="AQ127" s="94"/>
      <c r="AR127" s="86"/>
    </row>
    <row r="128" spans="1:44" x14ac:dyDescent="0.25">
      <c r="A128" s="96" t="str">
        <f>Requirment[[#This Row],[Production]]&amp;"_"&amp;Requirment[[#This Row],[Scenarios ]]&amp;"_"&amp;Requirment[[#This Row],[Nb phasis]]&amp;"_"&amp;Requirment[[#This Row],[Formula_Name]]</f>
        <v>___</v>
      </c>
      <c r="B128" s="102" t="str">
        <f>Requirment[[#This Row],[Production]]&amp;"_"&amp;Requirment[[#This Row],[Scenarios ]]&amp;"_"&amp;Requirment[[#This Row],[Nb phasis]]</f>
        <v>__</v>
      </c>
      <c r="C128" s="96"/>
      <c r="D128" s="96"/>
      <c r="E128" s="97"/>
      <c r="F128" s="98"/>
      <c r="G128" s="97"/>
      <c r="H128" s="96"/>
      <c r="I128" s="97"/>
      <c r="J128" s="93"/>
      <c r="K128" s="93"/>
      <c r="L128" s="93"/>
      <c r="M128" s="93"/>
      <c r="N128" s="93"/>
      <c r="O128" s="93"/>
      <c r="P128" s="93"/>
      <c r="Q128" s="94"/>
      <c r="R128" s="93"/>
      <c r="S128" s="94"/>
      <c r="T128" s="93"/>
      <c r="U128" s="94"/>
      <c r="V128" s="93"/>
      <c r="W128" s="94"/>
      <c r="X128" s="93"/>
      <c r="Y128" s="94"/>
      <c r="Z128" s="93"/>
      <c r="AA128" s="93"/>
      <c r="AB128" s="93"/>
      <c r="AC128" s="93"/>
      <c r="AD128" s="93"/>
      <c r="AE128" s="93"/>
      <c r="AF128" s="93"/>
      <c r="AG128" s="93"/>
      <c r="AH128" s="94"/>
      <c r="AI128" s="93"/>
      <c r="AJ128" s="94"/>
      <c r="AK128" s="94"/>
      <c r="AL128" s="94"/>
      <c r="AM128" s="94"/>
      <c r="AN128" s="94"/>
      <c r="AO128" s="94"/>
      <c r="AP128" s="94"/>
      <c r="AQ128" s="94"/>
      <c r="AR128" s="86"/>
    </row>
    <row r="129" spans="1:44" x14ac:dyDescent="0.25">
      <c r="A129" s="96" t="str">
        <f>Requirment[[#This Row],[Production]]&amp;"_"&amp;Requirment[[#This Row],[Scenarios ]]&amp;"_"&amp;Requirment[[#This Row],[Nb phasis]]&amp;"_"&amp;Requirment[[#This Row],[Formula_Name]]</f>
        <v>___</v>
      </c>
      <c r="B129" s="102" t="str">
        <f>Requirment[[#This Row],[Production]]&amp;"_"&amp;Requirment[[#This Row],[Scenarios ]]&amp;"_"&amp;Requirment[[#This Row],[Nb phasis]]</f>
        <v>__</v>
      </c>
      <c r="C129" s="96"/>
      <c r="D129" s="96"/>
      <c r="E129" s="97"/>
      <c r="F129" s="98"/>
      <c r="G129" s="97"/>
      <c r="H129" s="96"/>
      <c r="I129" s="97"/>
      <c r="J129" s="93"/>
      <c r="K129" s="93"/>
      <c r="L129" s="93"/>
      <c r="M129" s="93"/>
      <c r="N129" s="93"/>
      <c r="O129" s="93"/>
      <c r="P129" s="93"/>
      <c r="Q129" s="94"/>
      <c r="R129" s="93"/>
      <c r="S129" s="94"/>
      <c r="T129" s="93"/>
      <c r="U129" s="94"/>
      <c r="V129" s="93"/>
      <c r="W129" s="94"/>
      <c r="X129" s="93"/>
      <c r="Y129" s="94"/>
      <c r="Z129" s="93"/>
      <c r="AA129" s="93"/>
      <c r="AB129" s="93"/>
      <c r="AC129" s="93"/>
      <c r="AD129" s="93"/>
      <c r="AE129" s="93"/>
      <c r="AF129" s="93"/>
      <c r="AG129" s="93"/>
      <c r="AH129" s="94"/>
      <c r="AI129" s="93"/>
      <c r="AJ129" s="94"/>
      <c r="AK129" s="94"/>
      <c r="AL129" s="94"/>
      <c r="AM129" s="94"/>
      <c r="AN129" s="94"/>
      <c r="AO129" s="94"/>
      <c r="AP129" s="94"/>
      <c r="AQ129" s="94"/>
      <c r="AR129" s="86"/>
    </row>
    <row r="130" spans="1:44" x14ac:dyDescent="0.25">
      <c r="A130" s="96" t="str">
        <f>Requirment[[#This Row],[Production]]&amp;"_"&amp;Requirment[[#This Row],[Scenarios ]]&amp;"_"&amp;Requirment[[#This Row],[Nb phasis]]&amp;"_"&amp;Requirment[[#This Row],[Formula_Name]]</f>
        <v>___</v>
      </c>
      <c r="B130" s="102" t="str">
        <f>Requirment[[#This Row],[Production]]&amp;"_"&amp;Requirment[[#This Row],[Scenarios ]]&amp;"_"&amp;Requirment[[#This Row],[Nb phasis]]</f>
        <v>__</v>
      </c>
      <c r="C130" s="96"/>
      <c r="D130" s="96"/>
      <c r="E130" s="97"/>
      <c r="F130" s="98"/>
      <c r="G130" s="97"/>
      <c r="H130" s="96"/>
      <c r="I130" s="97"/>
      <c r="J130" s="93"/>
      <c r="K130" s="93"/>
      <c r="L130" s="93"/>
      <c r="M130" s="93"/>
      <c r="N130" s="93"/>
      <c r="O130" s="93"/>
      <c r="P130" s="93"/>
      <c r="Q130" s="94"/>
      <c r="R130" s="93"/>
      <c r="S130" s="94"/>
      <c r="T130" s="93"/>
      <c r="U130" s="94"/>
      <c r="V130" s="93"/>
      <c r="W130" s="94"/>
      <c r="X130" s="93"/>
      <c r="Y130" s="94"/>
      <c r="Z130" s="93"/>
      <c r="AA130" s="93"/>
      <c r="AB130" s="93"/>
      <c r="AC130" s="93"/>
      <c r="AD130" s="93"/>
      <c r="AE130" s="93"/>
      <c r="AF130" s="93"/>
      <c r="AG130" s="93"/>
      <c r="AH130" s="94"/>
      <c r="AI130" s="93"/>
      <c r="AJ130" s="94"/>
      <c r="AK130" s="94"/>
      <c r="AL130" s="94"/>
      <c r="AM130" s="94"/>
      <c r="AN130" s="94"/>
      <c r="AO130" s="94"/>
      <c r="AP130" s="94"/>
      <c r="AQ130" s="94"/>
      <c r="AR130" s="86"/>
    </row>
    <row r="131" spans="1:44" x14ac:dyDescent="0.25">
      <c r="A131" s="96" t="str">
        <f>Requirment[[#This Row],[Production]]&amp;"_"&amp;Requirment[[#This Row],[Scenarios ]]&amp;"_"&amp;Requirment[[#This Row],[Nb phasis]]&amp;"_"&amp;Requirment[[#This Row],[Formula_Name]]</f>
        <v>___</v>
      </c>
      <c r="B131" s="102" t="str">
        <f>Requirment[[#This Row],[Production]]&amp;"_"&amp;Requirment[[#This Row],[Scenarios ]]&amp;"_"&amp;Requirment[[#This Row],[Nb phasis]]</f>
        <v>__</v>
      </c>
      <c r="C131" s="96"/>
      <c r="D131" s="96"/>
      <c r="E131" s="97"/>
      <c r="F131" s="98"/>
      <c r="G131" s="97"/>
      <c r="H131" s="96"/>
      <c r="I131" s="97"/>
      <c r="J131" s="93"/>
      <c r="K131" s="93"/>
      <c r="L131" s="93"/>
      <c r="M131" s="93"/>
      <c r="N131" s="93"/>
      <c r="O131" s="93"/>
      <c r="P131" s="93"/>
      <c r="Q131" s="94"/>
      <c r="R131" s="93"/>
      <c r="S131" s="94"/>
      <c r="T131" s="93"/>
      <c r="U131" s="94"/>
      <c r="V131" s="93"/>
      <c r="W131" s="94"/>
      <c r="X131" s="93"/>
      <c r="Y131" s="94"/>
      <c r="Z131" s="93"/>
      <c r="AA131" s="93"/>
      <c r="AB131" s="93"/>
      <c r="AC131" s="93"/>
      <c r="AD131" s="93"/>
      <c r="AE131" s="93"/>
      <c r="AF131" s="93"/>
      <c r="AG131" s="93"/>
      <c r="AH131" s="94"/>
      <c r="AI131" s="93"/>
      <c r="AJ131" s="94"/>
      <c r="AK131" s="94"/>
      <c r="AL131" s="94"/>
      <c r="AM131" s="94"/>
      <c r="AN131" s="94"/>
      <c r="AO131" s="94"/>
      <c r="AP131" s="94"/>
      <c r="AQ131" s="94"/>
      <c r="AR131" s="86"/>
    </row>
    <row r="132" spans="1:44" x14ac:dyDescent="0.25">
      <c r="A132" s="96" t="str">
        <f>Requirment[[#This Row],[Production]]&amp;"_"&amp;Requirment[[#This Row],[Scenarios ]]&amp;"_"&amp;Requirment[[#This Row],[Nb phasis]]&amp;"_"&amp;Requirment[[#This Row],[Formula_Name]]</f>
        <v>___</v>
      </c>
      <c r="B132" s="102" t="str">
        <f>Requirment[[#This Row],[Production]]&amp;"_"&amp;Requirment[[#This Row],[Scenarios ]]&amp;"_"&amp;Requirment[[#This Row],[Nb phasis]]</f>
        <v>__</v>
      </c>
      <c r="C132" s="96"/>
      <c r="D132" s="96"/>
      <c r="E132" s="97"/>
      <c r="F132" s="98"/>
      <c r="G132" s="97"/>
      <c r="H132" s="96"/>
      <c r="I132" s="97"/>
      <c r="J132" s="93"/>
      <c r="K132" s="93"/>
      <c r="L132" s="93"/>
      <c r="M132" s="93"/>
      <c r="N132" s="93"/>
      <c r="O132" s="93"/>
      <c r="P132" s="93"/>
      <c r="Q132" s="94"/>
      <c r="R132" s="93"/>
      <c r="S132" s="94"/>
      <c r="T132" s="93"/>
      <c r="U132" s="94"/>
      <c r="V132" s="93"/>
      <c r="W132" s="94"/>
      <c r="X132" s="93"/>
      <c r="Y132" s="94"/>
      <c r="Z132" s="93"/>
      <c r="AA132" s="93"/>
      <c r="AB132" s="93"/>
      <c r="AC132" s="93"/>
      <c r="AD132" s="93"/>
      <c r="AE132" s="93"/>
      <c r="AF132" s="93"/>
      <c r="AG132" s="93"/>
      <c r="AH132" s="94"/>
      <c r="AI132" s="93"/>
      <c r="AJ132" s="94"/>
      <c r="AK132" s="94"/>
      <c r="AL132" s="94"/>
      <c r="AM132" s="94"/>
      <c r="AN132" s="94"/>
      <c r="AO132" s="94"/>
      <c r="AP132" s="94"/>
      <c r="AQ132" s="94"/>
      <c r="AR132" s="86"/>
    </row>
    <row r="133" spans="1:44" x14ac:dyDescent="0.25">
      <c r="A133" s="96" t="str">
        <f>Requirment[[#This Row],[Production]]&amp;"_"&amp;Requirment[[#This Row],[Scenarios ]]&amp;"_"&amp;Requirment[[#This Row],[Nb phasis]]&amp;"_"&amp;Requirment[[#This Row],[Formula_Name]]</f>
        <v>___</v>
      </c>
      <c r="B133" s="102" t="str">
        <f>Requirment[[#This Row],[Production]]&amp;"_"&amp;Requirment[[#This Row],[Scenarios ]]&amp;"_"&amp;Requirment[[#This Row],[Nb phasis]]</f>
        <v>__</v>
      </c>
      <c r="C133" s="96"/>
      <c r="D133" s="96"/>
      <c r="E133" s="97"/>
      <c r="F133" s="98"/>
      <c r="G133" s="97"/>
      <c r="H133" s="96"/>
      <c r="I133" s="97"/>
      <c r="J133" s="93"/>
      <c r="K133" s="93"/>
      <c r="L133" s="93"/>
      <c r="M133" s="93"/>
      <c r="N133" s="93"/>
      <c r="O133" s="93"/>
      <c r="P133" s="93"/>
      <c r="Q133" s="94"/>
      <c r="R133" s="93"/>
      <c r="S133" s="94"/>
      <c r="T133" s="93"/>
      <c r="U133" s="94"/>
      <c r="V133" s="93"/>
      <c r="W133" s="94"/>
      <c r="X133" s="93"/>
      <c r="Y133" s="94"/>
      <c r="Z133" s="93"/>
      <c r="AA133" s="93"/>
      <c r="AB133" s="93"/>
      <c r="AC133" s="93"/>
      <c r="AD133" s="93"/>
      <c r="AE133" s="93"/>
      <c r="AF133" s="93"/>
      <c r="AG133" s="93"/>
      <c r="AH133" s="94"/>
      <c r="AI133" s="93"/>
      <c r="AJ133" s="94"/>
      <c r="AK133" s="94"/>
      <c r="AL133" s="94"/>
      <c r="AM133" s="94"/>
      <c r="AN133" s="94"/>
      <c r="AO133" s="94"/>
      <c r="AP133" s="94"/>
      <c r="AQ133" s="94"/>
      <c r="AR133" s="86"/>
    </row>
    <row r="134" spans="1:44" x14ac:dyDescent="0.25">
      <c r="A134" s="96" t="str">
        <f>Requirment[[#This Row],[Production]]&amp;"_"&amp;Requirment[[#This Row],[Scenarios ]]&amp;"_"&amp;Requirment[[#This Row],[Nb phasis]]&amp;"_"&amp;Requirment[[#This Row],[Formula_Name]]</f>
        <v>___</v>
      </c>
      <c r="B134" s="102" t="str">
        <f>Requirment[[#This Row],[Production]]&amp;"_"&amp;Requirment[[#This Row],[Scenarios ]]&amp;"_"&amp;Requirment[[#This Row],[Nb phasis]]</f>
        <v>__</v>
      </c>
      <c r="C134" s="96"/>
      <c r="D134" s="96"/>
      <c r="E134" s="97"/>
      <c r="F134" s="98"/>
      <c r="G134" s="97"/>
      <c r="H134" s="96"/>
      <c r="I134" s="97"/>
      <c r="J134" s="93"/>
      <c r="K134" s="93"/>
      <c r="L134" s="93"/>
      <c r="M134" s="93"/>
      <c r="N134" s="93"/>
      <c r="O134" s="93"/>
      <c r="P134" s="93"/>
      <c r="Q134" s="94"/>
      <c r="R134" s="93"/>
      <c r="S134" s="94"/>
      <c r="T134" s="93"/>
      <c r="U134" s="94"/>
      <c r="V134" s="93"/>
      <c r="W134" s="94"/>
      <c r="X134" s="93"/>
      <c r="Y134" s="94"/>
      <c r="Z134" s="93"/>
      <c r="AA134" s="93"/>
      <c r="AB134" s="93"/>
      <c r="AC134" s="93"/>
      <c r="AD134" s="93"/>
      <c r="AE134" s="93"/>
      <c r="AF134" s="93"/>
      <c r="AG134" s="93"/>
      <c r="AH134" s="94"/>
      <c r="AI134" s="93"/>
      <c r="AJ134" s="94"/>
      <c r="AK134" s="94"/>
      <c r="AL134" s="94"/>
      <c r="AM134" s="94"/>
      <c r="AN134" s="94"/>
      <c r="AO134" s="94"/>
      <c r="AP134" s="94"/>
      <c r="AQ134" s="94"/>
      <c r="AR134" s="86"/>
    </row>
    <row r="135" spans="1:44" x14ac:dyDescent="0.25">
      <c r="A135" s="96" t="str">
        <f>Requirment[[#This Row],[Production]]&amp;"_"&amp;Requirment[[#This Row],[Scenarios ]]&amp;"_"&amp;Requirment[[#This Row],[Nb phasis]]&amp;"_"&amp;Requirment[[#This Row],[Formula_Name]]</f>
        <v>___</v>
      </c>
      <c r="B135" s="102" t="str">
        <f>Requirment[[#This Row],[Production]]&amp;"_"&amp;Requirment[[#This Row],[Scenarios ]]&amp;"_"&amp;Requirment[[#This Row],[Nb phasis]]</f>
        <v>__</v>
      </c>
      <c r="C135" s="96"/>
      <c r="D135" s="96"/>
      <c r="E135" s="97"/>
      <c r="F135" s="98"/>
      <c r="G135" s="97"/>
      <c r="H135" s="96"/>
      <c r="I135" s="97"/>
      <c r="J135" s="93"/>
      <c r="K135" s="93"/>
      <c r="L135" s="93"/>
      <c r="M135" s="93"/>
      <c r="N135" s="93"/>
      <c r="O135" s="93"/>
      <c r="P135" s="93"/>
      <c r="Q135" s="94"/>
      <c r="R135" s="93"/>
      <c r="S135" s="94"/>
      <c r="T135" s="93"/>
      <c r="U135" s="94"/>
      <c r="V135" s="93"/>
      <c r="W135" s="94"/>
      <c r="X135" s="93"/>
      <c r="Y135" s="94"/>
      <c r="Z135" s="93"/>
      <c r="AA135" s="93"/>
      <c r="AB135" s="93"/>
      <c r="AC135" s="93"/>
      <c r="AD135" s="93"/>
      <c r="AE135" s="93"/>
      <c r="AF135" s="93"/>
      <c r="AG135" s="93"/>
      <c r="AH135" s="94"/>
      <c r="AI135" s="93"/>
      <c r="AJ135" s="94"/>
      <c r="AK135" s="94"/>
      <c r="AL135" s="94"/>
      <c r="AM135" s="94"/>
      <c r="AN135" s="94"/>
      <c r="AO135" s="94"/>
      <c r="AP135" s="94"/>
      <c r="AQ135" s="94"/>
      <c r="AR135" s="86"/>
    </row>
    <row r="136" spans="1:44" x14ac:dyDescent="0.25">
      <c r="A136" s="96" t="str">
        <f>Requirment[[#This Row],[Production]]&amp;"_"&amp;Requirment[[#This Row],[Scenarios ]]&amp;"_"&amp;Requirment[[#This Row],[Nb phasis]]&amp;"_"&amp;Requirment[[#This Row],[Formula_Name]]</f>
        <v>___</v>
      </c>
      <c r="B136" s="102" t="str">
        <f>Requirment[[#This Row],[Production]]&amp;"_"&amp;Requirment[[#This Row],[Scenarios ]]&amp;"_"&amp;Requirment[[#This Row],[Nb phasis]]</f>
        <v>__</v>
      </c>
      <c r="C136" s="96"/>
      <c r="D136" s="96"/>
      <c r="E136" s="97"/>
      <c r="F136" s="98"/>
      <c r="G136" s="97"/>
      <c r="H136" s="96"/>
      <c r="I136" s="97"/>
      <c r="J136" s="93"/>
      <c r="K136" s="93"/>
      <c r="L136" s="93"/>
      <c r="M136" s="93"/>
      <c r="N136" s="93"/>
      <c r="O136" s="93"/>
      <c r="P136" s="93"/>
      <c r="Q136" s="94"/>
      <c r="R136" s="93"/>
      <c r="S136" s="94"/>
      <c r="T136" s="93"/>
      <c r="U136" s="94"/>
      <c r="V136" s="93"/>
      <c r="W136" s="94"/>
      <c r="X136" s="93"/>
      <c r="Y136" s="94"/>
      <c r="Z136" s="93"/>
      <c r="AA136" s="93"/>
      <c r="AB136" s="93"/>
      <c r="AC136" s="93"/>
      <c r="AD136" s="93"/>
      <c r="AE136" s="93"/>
      <c r="AF136" s="93"/>
      <c r="AG136" s="93"/>
      <c r="AH136" s="94"/>
      <c r="AI136" s="93"/>
      <c r="AJ136" s="94"/>
      <c r="AK136" s="94"/>
      <c r="AL136" s="94"/>
      <c r="AM136" s="94"/>
      <c r="AN136" s="94"/>
      <c r="AO136" s="94"/>
      <c r="AP136" s="94"/>
      <c r="AQ136" s="94"/>
      <c r="AR136" s="86"/>
    </row>
    <row r="137" spans="1:44" x14ac:dyDescent="0.25">
      <c r="A137" s="96" t="str">
        <f>Requirment[[#This Row],[Production]]&amp;"_"&amp;Requirment[[#This Row],[Scenarios ]]&amp;"_"&amp;Requirment[[#This Row],[Nb phasis]]&amp;"_"&amp;Requirment[[#This Row],[Formula_Name]]</f>
        <v>___</v>
      </c>
      <c r="B137" s="102" t="str">
        <f>Requirment[[#This Row],[Production]]&amp;"_"&amp;Requirment[[#This Row],[Scenarios ]]&amp;"_"&amp;Requirment[[#This Row],[Nb phasis]]</f>
        <v>__</v>
      </c>
      <c r="C137" s="96"/>
      <c r="D137" s="96"/>
      <c r="E137" s="97"/>
      <c r="F137" s="98"/>
      <c r="G137" s="97"/>
      <c r="H137" s="96"/>
      <c r="I137" s="97"/>
      <c r="J137" s="93"/>
      <c r="K137" s="93"/>
      <c r="L137" s="93"/>
      <c r="M137" s="93"/>
      <c r="N137" s="93"/>
      <c r="O137" s="93"/>
      <c r="P137" s="93"/>
      <c r="Q137" s="94"/>
      <c r="R137" s="93"/>
      <c r="S137" s="94"/>
      <c r="T137" s="93"/>
      <c r="U137" s="94"/>
      <c r="V137" s="93"/>
      <c r="W137" s="94"/>
      <c r="X137" s="93"/>
      <c r="Y137" s="94"/>
      <c r="Z137" s="93"/>
      <c r="AA137" s="93"/>
      <c r="AB137" s="93"/>
      <c r="AC137" s="93"/>
      <c r="AD137" s="93"/>
      <c r="AE137" s="93"/>
      <c r="AF137" s="93"/>
      <c r="AG137" s="93"/>
      <c r="AH137" s="94"/>
      <c r="AI137" s="93"/>
      <c r="AJ137" s="94"/>
      <c r="AK137" s="94"/>
      <c r="AL137" s="94"/>
      <c r="AM137" s="94"/>
      <c r="AN137" s="94"/>
      <c r="AO137" s="94"/>
      <c r="AP137" s="94"/>
      <c r="AQ137" s="94"/>
      <c r="AR137" s="86"/>
    </row>
    <row r="138" spans="1:44" x14ac:dyDescent="0.25">
      <c r="A138" s="96" t="str">
        <f>Requirment[[#This Row],[Production]]&amp;"_"&amp;Requirment[[#This Row],[Scenarios ]]&amp;"_"&amp;Requirment[[#This Row],[Nb phasis]]&amp;"_"&amp;Requirment[[#This Row],[Formula_Name]]</f>
        <v>___</v>
      </c>
      <c r="B138" s="102" t="str">
        <f>Requirment[[#This Row],[Production]]&amp;"_"&amp;Requirment[[#This Row],[Scenarios ]]&amp;"_"&amp;Requirment[[#This Row],[Nb phasis]]</f>
        <v>__</v>
      </c>
      <c r="C138" s="96"/>
      <c r="D138" s="96"/>
      <c r="E138" s="97"/>
      <c r="F138" s="98"/>
      <c r="G138" s="97"/>
      <c r="H138" s="96"/>
      <c r="I138" s="97"/>
      <c r="J138" s="93"/>
      <c r="K138" s="93"/>
      <c r="L138" s="93"/>
      <c r="M138" s="93"/>
      <c r="N138" s="93"/>
      <c r="O138" s="93"/>
      <c r="P138" s="93"/>
      <c r="Q138" s="94"/>
      <c r="R138" s="93"/>
      <c r="S138" s="94"/>
      <c r="T138" s="93"/>
      <c r="U138" s="94"/>
      <c r="V138" s="93"/>
      <c r="W138" s="94"/>
      <c r="X138" s="93"/>
      <c r="Y138" s="94"/>
      <c r="Z138" s="93"/>
      <c r="AA138" s="93"/>
      <c r="AB138" s="93"/>
      <c r="AC138" s="93"/>
      <c r="AD138" s="93"/>
      <c r="AE138" s="93"/>
      <c r="AF138" s="93"/>
      <c r="AG138" s="93"/>
      <c r="AH138" s="94"/>
      <c r="AI138" s="93"/>
      <c r="AJ138" s="94"/>
      <c r="AK138" s="94"/>
      <c r="AL138" s="94"/>
      <c r="AM138" s="94"/>
      <c r="AN138" s="94"/>
      <c r="AO138" s="94"/>
      <c r="AP138" s="94"/>
      <c r="AQ138" s="94"/>
      <c r="AR138" s="86"/>
    </row>
    <row r="139" spans="1:44" x14ac:dyDescent="0.25">
      <c r="A139" s="96" t="str">
        <f>Requirment[[#This Row],[Production]]&amp;"_"&amp;Requirment[[#This Row],[Scenarios ]]&amp;"_"&amp;Requirment[[#This Row],[Nb phasis]]&amp;"_"&amp;Requirment[[#This Row],[Formula_Name]]</f>
        <v>___</v>
      </c>
      <c r="B139" s="102" t="str">
        <f>Requirment[[#This Row],[Production]]&amp;"_"&amp;Requirment[[#This Row],[Scenarios ]]&amp;"_"&amp;Requirment[[#This Row],[Nb phasis]]</f>
        <v>__</v>
      </c>
      <c r="C139" s="96"/>
      <c r="D139" s="96"/>
      <c r="E139" s="97"/>
      <c r="F139" s="98"/>
      <c r="G139" s="97"/>
      <c r="H139" s="96"/>
      <c r="I139" s="97"/>
      <c r="J139" s="93"/>
      <c r="K139" s="93"/>
      <c r="L139" s="93"/>
      <c r="M139" s="93"/>
      <c r="N139" s="93"/>
      <c r="O139" s="93"/>
      <c r="P139" s="93"/>
      <c r="Q139" s="94"/>
      <c r="R139" s="93"/>
      <c r="S139" s="94"/>
      <c r="T139" s="93"/>
      <c r="U139" s="94"/>
      <c r="V139" s="93"/>
      <c r="W139" s="94"/>
      <c r="X139" s="93"/>
      <c r="Y139" s="94"/>
      <c r="Z139" s="93"/>
      <c r="AA139" s="93"/>
      <c r="AB139" s="93"/>
      <c r="AC139" s="93"/>
      <c r="AD139" s="93"/>
      <c r="AE139" s="93"/>
      <c r="AF139" s="93"/>
      <c r="AG139" s="93"/>
      <c r="AH139" s="94"/>
      <c r="AI139" s="93"/>
      <c r="AJ139" s="94"/>
      <c r="AK139" s="94"/>
      <c r="AL139" s="94"/>
      <c r="AM139" s="94"/>
      <c r="AN139" s="94"/>
      <c r="AO139" s="94"/>
      <c r="AP139" s="94"/>
      <c r="AQ139" s="94"/>
      <c r="AR139" s="86"/>
    </row>
    <row r="140" spans="1:44" x14ac:dyDescent="0.25">
      <c r="A140" s="96" t="str">
        <f>Requirment[[#This Row],[Production]]&amp;"_"&amp;Requirment[[#This Row],[Scenarios ]]&amp;"_"&amp;Requirment[[#This Row],[Nb phasis]]&amp;"_"&amp;Requirment[[#This Row],[Formula_Name]]</f>
        <v>___</v>
      </c>
      <c r="B140" s="102" t="str">
        <f>Requirment[[#This Row],[Production]]&amp;"_"&amp;Requirment[[#This Row],[Scenarios ]]&amp;"_"&amp;Requirment[[#This Row],[Nb phasis]]</f>
        <v>__</v>
      </c>
      <c r="C140" s="96"/>
      <c r="D140" s="96"/>
      <c r="E140" s="97"/>
      <c r="F140" s="98"/>
      <c r="G140" s="97"/>
      <c r="H140" s="96"/>
      <c r="I140" s="97"/>
      <c r="J140" s="93"/>
      <c r="K140" s="93"/>
      <c r="L140" s="93"/>
      <c r="M140" s="93"/>
      <c r="N140" s="93"/>
      <c r="O140" s="93"/>
      <c r="P140" s="93"/>
      <c r="Q140" s="94"/>
      <c r="R140" s="93"/>
      <c r="S140" s="94"/>
      <c r="T140" s="93"/>
      <c r="U140" s="94"/>
      <c r="V140" s="93"/>
      <c r="W140" s="94"/>
      <c r="X140" s="93"/>
      <c r="Y140" s="94"/>
      <c r="Z140" s="93"/>
      <c r="AA140" s="93"/>
      <c r="AB140" s="93"/>
      <c r="AC140" s="93"/>
      <c r="AD140" s="93"/>
      <c r="AE140" s="93"/>
      <c r="AF140" s="93"/>
      <c r="AG140" s="93"/>
      <c r="AH140" s="94"/>
      <c r="AI140" s="93"/>
      <c r="AJ140" s="94"/>
      <c r="AK140" s="94"/>
      <c r="AL140" s="94"/>
      <c r="AM140" s="94"/>
      <c r="AN140" s="94"/>
      <c r="AO140" s="94"/>
      <c r="AP140" s="94"/>
      <c r="AQ140" s="94"/>
      <c r="AR140" s="86"/>
    </row>
    <row r="141" spans="1:44" x14ac:dyDescent="0.25">
      <c r="A141" s="96" t="str">
        <f>Requirment[[#This Row],[Production]]&amp;"_"&amp;Requirment[[#This Row],[Scenarios ]]&amp;"_"&amp;Requirment[[#This Row],[Nb phasis]]&amp;"_"&amp;Requirment[[#This Row],[Formula_Name]]</f>
        <v>___</v>
      </c>
      <c r="B141" s="102" t="str">
        <f>Requirment[[#This Row],[Production]]&amp;"_"&amp;Requirment[[#This Row],[Scenarios ]]&amp;"_"&amp;Requirment[[#This Row],[Nb phasis]]</f>
        <v>__</v>
      </c>
      <c r="C141" s="96"/>
      <c r="D141" s="96"/>
      <c r="E141" s="97"/>
      <c r="F141" s="98"/>
      <c r="G141" s="97"/>
      <c r="H141" s="96"/>
      <c r="I141" s="97"/>
      <c r="J141" s="93"/>
      <c r="K141" s="93"/>
      <c r="L141" s="93"/>
      <c r="M141" s="93"/>
      <c r="N141" s="93"/>
      <c r="O141" s="93"/>
      <c r="P141" s="93"/>
      <c r="Q141" s="94"/>
      <c r="R141" s="93"/>
      <c r="S141" s="94"/>
      <c r="T141" s="93"/>
      <c r="U141" s="94"/>
      <c r="V141" s="93"/>
      <c r="W141" s="94"/>
      <c r="X141" s="93"/>
      <c r="Y141" s="94"/>
      <c r="Z141" s="93"/>
      <c r="AA141" s="93"/>
      <c r="AB141" s="93"/>
      <c r="AC141" s="93"/>
      <c r="AD141" s="93"/>
      <c r="AE141" s="93"/>
      <c r="AF141" s="93"/>
      <c r="AG141" s="93"/>
      <c r="AH141" s="94"/>
      <c r="AI141" s="93"/>
      <c r="AJ141" s="94"/>
      <c r="AK141" s="94"/>
      <c r="AL141" s="94"/>
      <c r="AM141" s="94"/>
      <c r="AN141" s="94"/>
      <c r="AO141" s="94"/>
      <c r="AP141" s="94"/>
      <c r="AQ141" s="94"/>
      <c r="AR141" s="86"/>
    </row>
    <row r="142" spans="1:44" x14ac:dyDescent="0.25">
      <c r="A142" s="96" t="str">
        <f>Requirment[[#This Row],[Production]]&amp;"_"&amp;Requirment[[#This Row],[Scenarios ]]&amp;"_"&amp;Requirment[[#This Row],[Nb phasis]]&amp;"_"&amp;Requirment[[#This Row],[Formula_Name]]</f>
        <v>___</v>
      </c>
      <c r="B142" s="102" t="str">
        <f>Requirment[[#This Row],[Production]]&amp;"_"&amp;Requirment[[#This Row],[Scenarios ]]&amp;"_"&amp;Requirment[[#This Row],[Nb phasis]]</f>
        <v>__</v>
      </c>
      <c r="C142" s="96"/>
      <c r="D142" s="96"/>
      <c r="E142" s="97"/>
      <c r="F142" s="98"/>
      <c r="G142" s="97"/>
      <c r="H142" s="96"/>
      <c r="I142" s="97"/>
      <c r="J142" s="93"/>
      <c r="K142" s="93"/>
      <c r="L142" s="93"/>
      <c r="M142" s="93"/>
      <c r="N142" s="93"/>
      <c r="O142" s="93"/>
      <c r="P142" s="93"/>
      <c r="Q142" s="94"/>
      <c r="R142" s="93"/>
      <c r="S142" s="94"/>
      <c r="T142" s="93"/>
      <c r="U142" s="94"/>
      <c r="V142" s="93"/>
      <c r="W142" s="94"/>
      <c r="X142" s="93"/>
      <c r="Y142" s="94"/>
      <c r="Z142" s="93"/>
      <c r="AA142" s="93"/>
      <c r="AB142" s="93"/>
      <c r="AC142" s="93"/>
      <c r="AD142" s="93"/>
      <c r="AE142" s="93"/>
      <c r="AF142" s="93"/>
      <c r="AG142" s="93"/>
      <c r="AH142" s="94"/>
      <c r="AI142" s="93"/>
      <c r="AJ142" s="94"/>
      <c r="AK142" s="94"/>
      <c r="AL142" s="94"/>
      <c r="AM142" s="94"/>
      <c r="AN142" s="94"/>
      <c r="AO142" s="94"/>
      <c r="AP142" s="94"/>
      <c r="AQ142" s="94"/>
      <c r="AR142" s="86"/>
    </row>
    <row r="143" spans="1:44" x14ac:dyDescent="0.25">
      <c r="A143" s="96" t="str">
        <f>Requirment[[#This Row],[Production]]&amp;"_"&amp;Requirment[[#This Row],[Scenarios ]]&amp;"_"&amp;Requirment[[#This Row],[Nb phasis]]&amp;"_"&amp;Requirment[[#This Row],[Formula_Name]]</f>
        <v>___</v>
      </c>
      <c r="B143" s="102" t="str">
        <f>Requirment[[#This Row],[Production]]&amp;"_"&amp;Requirment[[#This Row],[Scenarios ]]&amp;"_"&amp;Requirment[[#This Row],[Nb phasis]]</f>
        <v>__</v>
      </c>
      <c r="C143" s="96"/>
      <c r="D143" s="96"/>
      <c r="E143" s="97"/>
      <c r="F143" s="98"/>
      <c r="G143" s="97"/>
      <c r="H143" s="96"/>
      <c r="I143" s="97"/>
      <c r="J143" s="93"/>
      <c r="K143" s="93"/>
      <c r="L143" s="93"/>
      <c r="M143" s="93"/>
      <c r="N143" s="93"/>
      <c r="O143" s="93"/>
      <c r="P143" s="93"/>
      <c r="Q143" s="94"/>
      <c r="R143" s="93"/>
      <c r="S143" s="94"/>
      <c r="T143" s="93"/>
      <c r="U143" s="94"/>
      <c r="V143" s="93"/>
      <c r="W143" s="94"/>
      <c r="X143" s="93"/>
      <c r="Y143" s="94"/>
      <c r="Z143" s="93"/>
      <c r="AA143" s="93"/>
      <c r="AB143" s="93"/>
      <c r="AC143" s="93"/>
      <c r="AD143" s="93"/>
      <c r="AE143" s="93"/>
      <c r="AF143" s="93"/>
      <c r="AG143" s="93"/>
      <c r="AH143" s="94"/>
      <c r="AI143" s="93"/>
      <c r="AJ143" s="94"/>
      <c r="AK143" s="94"/>
      <c r="AL143" s="94"/>
      <c r="AM143" s="94"/>
      <c r="AN143" s="94"/>
      <c r="AO143" s="94"/>
      <c r="AP143" s="94"/>
      <c r="AQ143" s="94"/>
      <c r="AR143" s="86"/>
    </row>
    <row r="144" spans="1:44" x14ac:dyDescent="0.25">
      <c r="A144" s="96" t="str">
        <f>Requirment[[#This Row],[Production]]&amp;"_"&amp;Requirment[[#This Row],[Scenarios ]]&amp;"_"&amp;Requirment[[#This Row],[Nb phasis]]&amp;"_"&amp;Requirment[[#This Row],[Formula_Name]]</f>
        <v>___</v>
      </c>
      <c r="B144" s="102" t="str">
        <f>Requirment[[#This Row],[Production]]&amp;"_"&amp;Requirment[[#This Row],[Scenarios ]]&amp;"_"&amp;Requirment[[#This Row],[Nb phasis]]</f>
        <v>__</v>
      </c>
      <c r="C144" s="96"/>
      <c r="D144" s="96"/>
      <c r="E144" s="97"/>
      <c r="F144" s="98"/>
      <c r="G144" s="97"/>
      <c r="H144" s="96"/>
      <c r="I144" s="97"/>
      <c r="J144" s="93"/>
      <c r="K144" s="93"/>
      <c r="L144" s="93"/>
      <c r="M144" s="93"/>
      <c r="N144" s="93"/>
      <c r="O144" s="93"/>
      <c r="P144" s="93"/>
      <c r="Q144" s="94"/>
      <c r="R144" s="93"/>
      <c r="S144" s="94"/>
      <c r="T144" s="93"/>
      <c r="U144" s="94"/>
      <c r="V144" s="93"/>
      <c r="W144" s="94"/>
      <c r="X144" s="93"/>
      <c r="Y144" s="94"/>
      <c r="Z144" s="93"/>
      <c r="AA144" s="93"/>
      <c r="AB144" s="93"/>
      <c r="AC144" s="93"/>
      <c r="AD144" s="93"/>
      <c r="AE144" s="93"/>
      <c r="AF144" s="93"/>
      <c r="AG144" s="93"/>
      <c r="AH144" s="94"/>
      <c r="AI144" s="93"/>
      <c r="AJ144" s="94"/>
      <c r="AK144" s="94"/>
      <c r="AL144" s="94"/>
      <c r="AM144" s="94"/>
      <c r="AN144" s="94"/>
      <c r="AO144" s="94"/>
      <c r="AP144" s="94"/>
      <c r="AQ144" s="94"/>
      <c r="AR144" s="86"/>
    </row>
    <row r="145" spans="1:44" x14ac:dyDescent="0.25">
      <c r="A145" s="96" t="str">
        <f>Requirment[[#This Row],[Production]]&amp;"_"&amp;Requirment[[#This Row],[Scenarios ]]&amp;"_"&amp;Requirment[[#This Row],[Nb phasis]]&amp;"_"&amp;Requirment[[#This Row],[Formula_Name]]</f>
        <v>___</v>
      </c>
      <c r="B145" s="102" t="str">
        <f>Requirment[[#This Row],[Production]]&amp;"_"&amp;Requirment[[#This Row],[Scenarios ]]&amp;"_"&amp;Requirment[[#This Row],[Nb phasis]]</f>
        <v>__</v>
      </c>
      <c r="C145" s="96"/>
      <c r="D145" s="96"/>
      <c r="E145" s="97"/>
      <c r="F145" s="98"/>
      <c r="G145" s="97"/>
      <c r="H145" s="96"/>
      <c r="I145" s="97"/>
      <c r="J145" s="93"/>
      <c r="K145" s="93"/>
      <c r="L145" s="93"/>
      <c r="M145" s="93"/>
      <c r="N145" s="93"/>
      <c r="O145" s="93"/>
      <c r="P145" s="93"/>
      <c r="Q145" s="94"/>
      <c r="R145" s="93"/>
      <c r="S145" s="94"/>
      <c r="T145" s="93"/>
      <c r="U145" s="94"/>
      <c r="V145" s="93"/>
      <c r="W145" s="94"/>
      <c r="X145" s="93"/>
      <c r="Y145" s="94"/>
      <c r="Z145" s="93"/>
      <c r="AA145" s="93"/>
      <c r="AB145" s="93"/>
      <c r="AC145" s="93"/>
      <c r="AD145" s="93"/>
      <c r="AE145" s="93"/>
      <c r="AF145" s="93"/>
      <c r="AG145" s="93"/>
      <c r="AH145" s="94"/>
      <c r="AI145" s="93"/>
      <c r="AJ145" s="94"/>
      <c r="AK145" s="94"/>
      <c r="AL145" s="94"/>
      <c r="AM145" s="94"/>
      <c r="AN145" s="94"/>
      <c r="AO145" s="94"/>
      <c r="AP145" s="94"/>
      <c r="AQ145" s="94"/>
      <c r="AR145" s="86"/>
    </row>
    <row r="146" spans="1:44" x14ac:dyDescent="0.25">
      <c r="A146" s="96" t="str">
        <f>Requirment[[#This Row],[Production]]&amp;"_"&amp;Requirment[[#This Row],[Scenarios ]]&amp;"_"&amp;Requirment[[#This Row],[Nb phasis]]&amp;"_"&amp;Requirment[[#This Row],[Formula_Name]]</f>
        <v>___</v>
      </c>
      <c r="B146" s="102" t="str">
        <f>Requirment[[#This Row],[Production]]&amp;"_"&amp;Requirment[[#This Row],[Scenarios ]]&amp;"_"&amp;Requirment[[#This Row],[Nb phasis]]</f>
        <v>__</v>
      </c>
      <c r="C146" s="96"/>
      <c r="D146" s="96"/>
      <c r="E146" s="97"/>
      <c r="F146" s="98"/>
      <c r="G146" s="97"/>
      <c r="H146" s="96"/>
      <c r="I146" s="97"/>
      <c r="J146" s="93"/>
      <c r="K146" s="93"/>
      <c r="L146" s="93"/>
      <c r="M146" s="93"/>
      <c r="N146" s="93"/>
      <c r="O146" s="93"/>
      <c r="P146" s="93"/>
      <c r="Q146" s="94"/>
      <c r="R146" s="93"/>
      <c r="S146" s="94"/>
      <c r="T146" s="93"/>
      <c r="U146" s="94"/>
      <c r="V146" s="93"/>
      <c r="W146" s="94"/>
      <c r="X146" s="93"/>
      <c r="Y146" s="94"/>
      <c r="Z146" s="93"/>
      <c r="AA146" s="93"/>
      <c r="AB146" s="93"/>
      <c r="AC146" s="93"/>
      <c r="AD146" s="93"/>
      <c r="AE146" s="93"/>
      <c r="AF146" s="93"/>
      <c r="AG146" s="93"/>
      <c r="AH146" s="94"/>
      <c r="AI146" s="93"/>
      <c r="AJ146" s="94"/>
      <c r="AK146" s="94"/>
      <c r="AL146" s="94"/>
      <c r="AM146" s="94"/>
      <c r="AN146" s="94"/>
      <c r="AO146" s="94"/>
      <c r="AP146" s="94"/>
      <c r="AQ146" s="94"/>
      <c r="AR146" s="86"/>
    </row>
    <row r="147" spans="1:44" x14ac:dyDescent="0.25">
      <c r="A147" s="96" t="str">
        <f>Requirment[[#This Row],[Production]]&amp;"_"&amp;Requirment[[#This Row],[Scenarios ]]&amp;"_"&amp;Requirment[[#This Row],[Nb phasis]]&amp;"_"&amp;Requirment[[#This Row],[Formula_Name]]</f>
        <v>___</v>
      </c>
      <c r="B147" s="102" t="str">
        <f>Requirment[[#This Row],[Production]]&amp;"_"&amp;Requirment[[#This Row],[Scenarios ]]&amp;"_"&amp;Requirment[[#This Row],[Nb phasis]]</f>
        <v>__</v>
      </c>
      <c r="C147" s="96"/>
      <c r="D147" s="96"/>
      <c r="E147" s="97"/>
      <c r="F147" s="98"/>
      <c r="G147" s="97"/>
      <c r="H147" s="96"/>
      <c r="I147" s="97"/>
      <c r="J147" s="93"/>
      <c r="K147" s="93"/>
      <c r="L147" s="93"/>
      <c r="M147" s="93"/>
      <c r="N147" s="93"/>
      <c r="O147" s="93"/>
      <c r="P147" s="93"/>
      <c r="Q147" s="94"/>
      <c r="R147" s="93"/>
      <c r="S147" s="94"/>
      <c r="T147" s="93"/>
      <c r="U147" s="94"/>
      <c r="V147" s="93"/>
      <c r="W147" s="94"/>
      <c r="X147" s="93"/>
      <c r="Y147" s="94"/>
      <c r="Z147" s="93"/>
      <c r="AA147" s="93"/>
      <c r="AB147" s="93"/>
      <c r="AC147" s="93"/>
      <c r="AD147" s="93"/>
      <c r="AE147" s="93"/>
      <c r="AF147" s="93"/>
      <c r="AG147" s="93"/>
      <c r="AH147" s="94"/>
      <c r="AI147" s="93"/>
      <c r="AJ147" s="94"/>
      <c r="AK147" s="94"/>
      <c r="AL147" s="94"/>
      <c r="AM147" s="94"/>
      <c r="AN147" s="94"/>
      <c r="AO147" s="94"/>
      <c r="AP147" s="94"/>
      <c r="AQ147" s="94"/>
      <c r="AR147" s="86"/>
    </row>
    <row r="148" spans="1:44" x14ac:dyDescent="0.25">
      <c r="A148" s="96" t="str">
        <f>Requirment[[#This Row],[Production]]&amp;"_"&amp;Requirment[[#This Row],[Scenarios ]]&amp;"_"&amp;Requirment[[#This Row],[Nb phasis]]&amp;"_"&amp;Requirment[[#This Row],[Formula_Name]]</f>
        <v>___</v>
      </c>
      <c r="B148" s="102" t="str">
        <f>Requirment[[#This Row],[Production]]&amp;"_"&amp;Requirment[[#This Row],[Scenarios ]]&amp;"_"&amp;Requirment[[#This Row],[Nb phasis]]</f>
        <v>__</v>
      </c>
      <c r="C148" s="96"/>
      <c r="D148" s="96"/>
      <c r="E148" s="97"/>
      <c r="F148" s="98"/>
      <c r="G148" s="97"/>
      <c r="H148" s="96"/>
      <c r="I148" s="97"/>
      <c r="J148" s="93"/>
      <c r="K148" s="93"/>
      <c r="L148" s="93"/>
      <c r="M148" s="93"/>
      <c r="N148" s="93"/>
      <c r="O148" s="93"/>
      <c r="P148" s="93"/>
      <c r="Q148" s="94"/>
      <c r="R148" s="93"/>
      <c r="S148" s="94"/>
      <c r="T148" s="93"/>
      <c r="U148" s="94"/>
      <c r="V148" s="93"/>
      <c r="W148" s="94"/>
      <c r="X148" s="93"/>
      <c r="Y148" s="94"/>
      <c r="Z148" s="93"/>
      <c r="AA148" s="93"/>
      <c r="AB148" s="93"/>
      <c r="AC148" s="93"/>
      <c r="AD148" s="93"/>
      <c r="AE148" s="93"/>
      <c r="AF148" s="93"/>
      <c r="AG148" s="93"/>
      <c r="AH148" s="94"/>
      <c r="AI148" s="93"/>
      <c r="AJ148" s="94"/>
      <c r="AK148" s="94"/>
      <c r="AL148" s="94"/>
      <c r="AM148" s="94"/>
      <c r="AN148" s="94"/>
      <c r="AO148" s="94"/>
      <c r="AP148" s="94"/>
      <c r="AQ148" s="94"/>
      <c r="AR148" s="86"/>
    </row>
    <row r="149" spans="1:44" x14ac:dyDescent="0.25">
      <c r="A149" s="96" t="str">
        <f>Requirment[[#This Row],[Production]]&amp;"_"&amp;Requirment[[#This Row],[Scenarios ]]&amp;"_"&amp;Requirment[[#This Row],[Nb phasis]]&amp;"_"&amp;Requirment[[#This Row],[Formula_Name]]</f>
        <v>___</v>
      </c>
      <c r="B149" s="102" t="str">
        <f>Requirment[[#This Row],[Production]]&amp;"_"&amp;Requirment[[#This Row],[Scenarios ]]&amp;"_"&amp;Requirment[[#This Row],[Nb phasis]]</f>
        <v>__</v>
      </c>
      <c r="C149" s="96"/>
      <c r="D149" s="96"/>
      <c r="E149" s="97"/>
      <c r="F149" s="98"/>
      <c r="G149" s="97"/>
      <c r="H149" s="96"/>
      <c r="I149" s="97"/>
      <c r="J149" s="93"/>
      <c r="K149" s="93"/>
      <c r="L149" s="93"/>
      <c r="M149" s="93"/>
      <c r="N149" s="93"/>
      <c r="O149" s="93"/>
      <c r="P149" s="93"/>
      <c r="Q149" s="94"/>
      <c r="R149" s="93"/>
      <c r="S149" s="94"/>
      <c r="T149" s="93"/>
      <c r="U149" s="94"/>
      <c r="V149" s="93"/>
      <c r="W149" s="94"/>
      <c r="X149" s="93"/>
      <c r="Y149" s="94"/>
      <c r="Z149" s="93"/>
      <c r="AA149" s="93"/>
      <c r="AB149" s="93"/>
      <c r="AC149" s="93"/>
      <c r="AD149" s="93"/>
      <c r="AE149" s="93"/>
      <c r="AF149" s="93"/>
      <c r="AG149" s="93"/>
      <c r="AH149" s="94"/>
      <c r="AI149" s="93"/>
      <c r="AJ149" s="94"/>
      <c r="AK149" s="94"/>
      <c r="AL149" s="94"/>
      <c r="AM149" s="94"/>
      <c r="AN149" s="94"/>
      <c r="AO149" s="94"/>
      <c r="AP149" s="94"/>
      <c r="AQ149" s="94"/>
      <c r="AR149" s="86"/>
    </row>
    <row r="150" spans="1:44" x14ac:dyDescent="0.25">
      <c r="A150" s="103" t="str">
        <f>Requirment[[#This Row],[Production]]&amp;"_"&amp;Requirment[[#This Row],[Scenarios ]]&amp;"_"&amp;Requirment[[#This Row],[Nb phasis]]&amp;"_"&amp;Requirment[[#This Row],[Formula_Name]]</f>
        <v>___</v>
      </c>
      <c r="B150" s="104" t="str">
        <f>Requirment[[#This Row],[Production]]&amp;"_"&amp;Requirment[[#This Row],[Scenarios ]]&amp;"_"&amp;Requirment[[#This Row],[Nb phasis]]</f>
        <v>__</v>
      </c>
      <c r="C150" s="103"/>
      <c r="D150" s="103"/>
      <c r="E150" s="105"/>
      <c r="F150" s="106"/>
      <c r="G150" s="105"/>
      <c r="H150" s="103"/>
      <c r="I150" s="105"/>
      <c r="J150" s="107"/>
      <c r="K150" s="107"/>
      <c r="L150" s="107"/>
      <c r="M150" s="107"/>
      <c r="N150" s="107"/>
      <c r="O150" s="107"/>
      <c r="P150" s="107"/>
      <c r="Q150" s="108"/>
      <c r="R150" s="107"/>
      <c r="S150" s="108"/>
      <c r="T150" s="107"/>
      <c r="U150" s="108"/>
      <c r="V150" s="107"/>
      <c r="W150" s="108"/>
      <c r="X150" s="107"/>
      <c r="Y150" s="108"/>
      <c r="Z150" s="107"/>
      <c r="AA150" s="107"/>
      <c r="AB150" s="107"/>
      <c r="AC150" s="107"/>
      <c r="AD150" s="107"/>
      <c r="AE150" s="107"/>
      <c r="AF150" s="107"/>
      <c r="AG150" s="107"/>
      <c r="AH150" s="108"/>
      <c r="AI150" s="107"/>
      <c r="AJ150" s="108"/>
      <c r="AK150" s="108"/>
      <c r="AL150" s="108"/>
      <c r="AM150" s="108"/>
      <c r="AN150" s="108"/>
      <c r="AO150" s="108"/>
      <c r="AP150" s="108"/>
      <c r="AQ150" s="108"/>
      <c r="AR150" s="109"/>
    </row>
  </sheetData>
  <sheetProtection algorithmName="SHA-512" hashValue="rReZRVNmkWUcCUdVk2dKjpgS1GTVqnhYc0hhuj6MJtNBwoJgQxE/FbEFOuBJBOkQlFL/IR96ExTkLC7CYY3DVg==" saltValue="nEKpVKpwvFwGUSX4sx/WoA==" spinCount="100000" sheet="1" objects="1" scenarios="1"/>
  <protectedRanges>
    <protectedRange sqref="C32:AR150" name="Free"/>
  </protectedRanges>
  <phoneticPr fontId="20" type="noConversion"/>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5C90A-9924-4533-8B6E-2A7162AB5B0E}">
  <dimension ref="A1:AP31"/>
  <sheetViews>
    <sheetView topLeftCell="A4" zoomScale="55" zoomScaleNormal="55" workbookViewId="0">
      <selection activeCell="H3" sqref="H3"/>
    </sheetView>
  </sheetViews>
  <sheetFormatPr baseColWidth="10" defaultColWidth="9.140625" defaultRowHeight="15.75" x14ac:dyDescent="0.25"/>
  <cols>
    <col min="1" max="1" width="26.42578125" style="228" customWidth="1"/>
    <col min="2" max="2" width="51.140625" style="228" customWidth="1"/>
    <col min="3" max="3" width="11" style="228" customWidth="1"/>
    <col min="4" max="4" width="16.140625" style="228" customWidth="1"/>
    <col min="5" max="5" width="14.7109375" style="228" customWidth="1"/>
    <col min="6" max="6" width="11.5703125" style="228" customWidth="1"/>
    <col min="7" max="7" width="10.28515625" style="228" customWidth="1"/>
    <col min="8" max="8" width="9.5703125" style="228" customWidth="1"/>
    <col min="9" max="9" width="7.5703125" style="228" customWidth="1"/>
    <col min="10" max="11" width="7.7109375" style="228" bestFit="1" customWidth="1"/>
    <col min="12" max="12" width="12" style="228" bestFit="1" customWidth="1"/>
    <col min="13" max="13" width="10.85546875" style="228" customWidth="1"/>
    <col min="14" max="14" width="12.7109375" style="228" customWidth="1"/>
    <col min="15" max="15" width="13.28515625" style="228" customWidth="1"/>
    <col min="16" max="16" width="15.7109375" style="228" customWidth="1"/>
    <col min="17" max="17" width="15.85546875" style="228" customWidth="1"/>
    <col min="18" max="18" width="17.5703125" style="228" customWidth="1"/>
    <col min="19" max="19" width="14.42578125" style="228" customWidth="1"/>
    <col min="20" max="20" width="10" style="228" customWidth="1"/>
    <col min="21" max="21" width="11.5703125" style="228" customWidth="1"/>
    <col min="22" max="22" width="5.85546875" style="228" customWidth="1"/>
    <col min="23" max="16384" width="9.140625" style="228"/>
  </cols>
  <sheetData>
    <row r="1" spans="1:24" ht="12" customHeight="1" thickBot="1" x14ac:dyDescent="0.3">
      <c r="X1" s="229"/>
    </row>
    <row r="2" spans="1:24" ht="45" customHeight="1" x14ac:dyDescent="0.25">
      <c r="A2" s="225" t="s">
        <v>364</v>
      </c>
      <c r="B2" s="293" t="s">
        <v>0</v>
      </c>
      <c r="C2" s="230" t="s">
        <v>384</v>
      </c>
      <c r="D2" s="230"/>
      <c r="E2" s="230"/>
      <c r="F2" s="230"/>
      <c r="G2" s="231"/>
      <c r="H2" s="231"/>
      <c r="I2" s="231"/>
      <c r="J2" s="231"/>
      <c r="K2" s="231"/>
      <c r="L2" s="296" t="s">
        <v>1</v>
      </c>
      <c r="M2" s="297"/>
      <c r="N2" s="298"/>
      <c r="O2" s="226" t="s">
        <v>381</v>
      </c>
      <c r="P2" s="226"/>
      <c r="Q2" s="226"/>
      <c r="R2" s="226"/>
      <c r="S2" s="226"/>
      <c r="T2" s="226"/>
      <c r="U2" s="232"/>
      <c r="W2" s="233"/>
    </row>
    <row r="3" spans="1:24" x14ac:dyDescent="0.25">
      <c r="A3" s="234"/>
      <c r="B3" s="294" t="s">
        <v>2</v>
      </c>
      <c r="C3" s="235" t="s">
        <v>384</v>
      </c>
      <c r="D3" s="235"/>
      <c r="E3" s="235"/>
      <c r="F3" s="235"/>
      <c r="G3" s="236"/>
      <c r="H3" s="241"/>
      <c r="I3" s="236"/>
      <c r="J3" s="236"/>
      <c r="K3" s="236"/>
      <c r="L3" s="299" t="s">
        <v>363</v>
      </c>
      <c r="M3" s="300"/>
      <c r="N3" s="301"/>
      <c r="O3" s="227" t="s">
        <v>235</v>
      </c>
      <c r="P3" s="227"/>
      <c r="Q3" s="227"/>
      <c r="R3" s="227"/>
      <c r="S3" s="227"/>
      <c r="T3" s="227"/>
      <c r="U3" s="237"/>
      <c r="W3" s="233"/>
    </row>
    <row r="4" spans="1:24" s="243" customFormat="1" ht="19.5" customHeight="1" x14ac:dyDescent="0.25">
      <c r="A4" s="234"/>
      <c r="B4" s="294" t="s">
        <v>4</v>
      </c>
      <c r="C4" s="238">
        <v>44228</v>
      </c>
      <c r="D4" s="239"/>
      <c r="E4" s="239"/>
      <c r="F4" s="239"/>
      <c r="G4" s="240" t="str">
        <f>TEXT(C4,"aaaammjj")</f>
        <v>20210201</v>
      </c>
      <c r="H4" s="236"/>
      <c r="I4" s="241"/>
      <c r="J4" s="241"/>
      <c r="K4" s="242"/>
      <c r="L4" s="299" t="s">
        <v>5</v>
      </c>
      <c r="M4" s="300"/>
      <c r="N4" s="301"/>
      <c r="O4" s="302" t="str">
        <f>_xlfn.IFNA(VLOOKUP($O$9,Requirment[],7,FALSE),)</f>
        <v>63-98 day</v>
      </c>
      <c r="P4" s="302"/>
      <c r="Q4" s="302"/>
      <c r="R4" s="302"/>
      <c r="S4" s="302"/>
      <c r="T4" s="302"/>
      <c r="U4" s="313"/>
      <c r="X4" s="233"/>
    </row>
    <row r="5" spans="1:24" x14ac:dyDescent="0.25">
      <c r="A5" s="234"/>
      <c r="B5" s="294" t="s">
        <v>6</v>
      </c>
      <c r="C5" s="235" t="s">
        <v>234</v>
      </c>
      <c r="D5" s="235"/>
      <c r="E5" s="235"/>
      <c r="F5" s="235"/>
      <c r="G5" s="236"/>
      <c r="H5" s="236"/>
      <c r="I5" s="236"/>
      <c r="J5" s="236"/>
      <c r="K5" s="236"/>
      <c r="L5" s="299" t="s">
        <v>7</v>
      </c>
      <c r="M5" s="300"/>
      <c r="N5" s="301"/>
      <c r="O5" s="303" t="str">
        <f>_xlfn.IFNA(VLOOKUP($O$9,Requirment[],8,FALSE),)</f>
        <v>France</v>
      </c>
      <c r="P5" s="304"/>
      <c r="Q5" s="304"/>
      <c r="R5" s="304"/>
      <c r="S5" s="304"/>
      <c r="T5" s="305"/>
      <c r="U5" s="237"/>
      <c r="X5" s="233"/>
    </row>
    <row r="6" spans="1:24" x14ac:dyDescent="0.25">
      <c r="A6" s="234"/>
      <c r="B6" s="294" t="s">
        <v>8</v>
      </c>
      <c r="C6" s="235">
        <v>15</v>
      </c>
      <c r="D6" s="235"/>
      <c r="E6" s="235"/>
      <c r="F6" s="235"/>
      <c r="G6" s="236"/>
      <c r="H6" s="236"/>
      <c r="I6" s="236"/>
      <c r="J6" s="236"/>
      <c r="K6" s="236"/>
      <c r="L6" s="299" t="s">
        <v>9</v>
      </c>
      <c r="M6" s="300"/>
      <c r="N6" s="301"/>
      <c r="O6" s="303" t="str">
        <f>_xlfn.IFNA(VLOOKUP($O$9,Requirment[],9,FALSE),)</f>
        <v>broiler</v>
      </c>
      <c r="P6" s="304"/>
      <c r="Q6" s="304"/>
      <c r="R6" s="304"/>
      <c r="S6" s="304"/>
      <c r="T6" s="305"/>
      <c r="U6" s="237"/>
      <c r="X6" s="233"/>
    </row>
    <row r="7" spans="1:24" x14ac:dyDescent="0.25">
      <c r="A7" s="234"/>
      <c r="B7" s="294" t="s">
        <v>10</v>
      </c>
      <c r="C7" s="235" t="s">
        <v>385</v>
      </c>
      <c r="D7" s="235"/>
      <c r="E7" s="235"/>
      <c r="F7" s="235"/>
      <c r="G7" s="236"/>
      <c r="H7" s="236"/>
      <c r="I7" s="236"/>
      <c r="J7" s="236"/>
      <c r="K7" s="236"/>
      <c r="L7" s="236"/>
      <c r="M7" s="236"/>
      <c r="N7" s="236"/>
      <c r="O7" s="236"/>
      <c r="P7" s="236"/>
      <c r="Q7" s="236"/>
      <c r="R7" s="236"/>
      <c r="S7" s="236"/>
      <c r="T7" s="236"/>
      <c r="U7" s="237"/>
      <c r="X7" s="229"/>
    </row>
    <row r="8" spans="1:24" x14ac:dyDescent="0.25">
      <c r="A8" s="234"/>
      <c r="B8" s="294" t="s">
        <v>11</v>
      </c>
      <c r="C8" s="235">
        <v>3</v>
      </c>
      <c r="D8" s="235"/>
      <c r="E8" s="235"/>
      <c r="F8" s="235"/>
      <c r="G8" s="236"/>
      <c r="H8" s="236"/>
      <c r="I8" s="236"/>
      <c r="J8" s="236"/>
      <c r="K8" s="236"/>
      <c r="L8" s="236"/>
      <c r="M8" s="236"/>
      <c r="N8" s="236"/>
      <c r="O8" s="236"/>
      <c r="P8" s="236"/>
      <c r="Q8" s="236"/>
      <c r="R8" s="236"/>
      <c r="S8" s="236"/>
      <c r="T8" s="236"/>
      <c r="U8" s="237"/>
      <c r="X8" s="229"/>
    </row>
    <row r="9" spans="1:24" ht="16.5" thickBot="1" x14ac:dyDescent="0.3">
      <c r="A9" s="244"/>
      <c r="B9" s="295" t="s">
        <v>13</v>
      </c>
      <c r="C9" s="245" t="s">
        <v>234</v>
      </c>
      <c r="D9" s="245"/>
      <c r="E9" s="245"/>
      <c r="F9" s="245"/>
      <c r="G9" s="246"/>
      <c r="H9" s="246"/>
      <c r="I9" s="246"/>
      <c r="J9" s="246"/>
      <c r="K9" s="246"/>
      <c r="L9" s="246"/>
      <c r="M9" s="246"/>
      <c r="N9" s="246"/>
      <c r="O9" s="247" t="str">
        <f>O2&amp;"_"&amp;O3</f>
        <v>Broiler_2.6 kg alive at 98 days_3 feeds_3_Finishing</v>
      </c>
      <c r="P9" s="247"/>
      <c r="Q9" s="247"/>
      <c r="R9" s="247"/>
      <c r="S9" s="248"/>
      <c r="T9" s="248"/>
      <c r="U9" s="249"/>
    </row>
    <row r="10" spans="1:24" ht="16.5" thickBot="1" x14ac:dyDescent="0.3">
      <c r="A10" s="250"/>
      <c r="O10" s="251"/>
    </row>
    <row r="11" spans="1:24" ht="67.5" customHeight="1" x14ac:dyDescent="0.25">
      <c r="A11" s="220" t="s">
        <v>365</v>
      </c>
      <c r="B11" s="252" t="s">
        <v>366</v>
      </c>
      <c r="C11" s="253" t="s">
        <v>367</v>
      </c>
      <c r="D11" s="254" t="s">
        <v>368</v>
      </c>
      <c r="E11" s="253" t="s">
        <v>19</v>
      </c>
      <c r="F11" s="253" t="s">
        <v>20</v>
      </c>
      <c r="G11" s="253" t="s">
        <v>21</v>
      </c>
      <c r="H11" s="253" t="s">
        <v>22</v>
      </c>
      <c r="I11" s="253" t="s">
        <v>23</v>
      </c>
      <c r="J11" s="253" t="s">
        <v>24</v>
      </c>
      <c r="K11" s="253" t="s">
        <v>25</v>
      </c>
      <c r="L11" s="253" t="s">
        <v>26</v>
      </c>
      <c r="M11" s="253" t="s">
        <v>27</v>
      </c>
      <c r="N11" s="253" t="s">
        <v>28</v>
      </c>
      <c r="O11" s="255" t="s">
        <v>29</v>
      </c>
      <c r="P11" s="255" t="s">
        <v>30</v>
      </c>
      <c r="Q11" s="255" t="s">
        <v>31</v>
      </c>
      <c r="R11" s="255" t="s">
        <v>32</v>
      </c>
      <c r="S11" s="255" t="s">
        <v>33</v>
      </c>
      <c r="T11" s="253" t="s">
        <v>34</v>
      </c>
      <c r="U11" s="256" t="s">
        <v>35</v>
      </c>
    </row>
    <row r="12" spans="1:24" x14ac:dyDescent="0.25">
      <c r="A12" s="257"/>
      <c r="B12" s="258" t="s">
        <v>369</v>
      </c>
      <c r="C12" s="259">
        <v>0.01</v>
      </c>
      <c r="D12" s="259">
        <v>0.35</v>
      </c>
      <c r="E12" s="259">
        <v>13.6</v>
      </c>
      <c r="F12" s="259">
        <f>F18/E18*E12</f>
        <v>17.10736842105263</v>
      </c>
      <c r="G12" s="259">
        <f>3.1/0.274</f>
        <v>11.313868613138686</v>
      </c>
      <c r="H12" s="259">
        <v>10</v>
      </c>
      <c r="I12" s="259">
        <v>0</v>
      </c>
      <c r="J12" s="259">
        <v>0</v>
      </c>
      <c r="K12" s="259">
        <v>0</v>
      </c>
      <c r="L12" s="259">
        <v>0</v>
      </c>
      <c r="M12" s="260">
        <v>0</v>
      </c>
      <c r="N12" s="259">
        <v>0</v>
      </c>
      <c r="O12" s="259">
        <v>0.61</v>
      </c>
      <c r="P12" s="259">
        <v>0.27</v>
      </c>
      <c r="Q12" s="259">
        <v>0.21</v>
      </c>
      <c r="R12" s="259">
        <v>0</v>
      </c>
      <c r="S12" s="259">
        <v>0.06</v>
      </c>
      <c r="T12" s="259">
        <v>0</v>
      </c>
      <c r="U12" s="261">
        <v>0</v>
      </c>
    </row>
    <row r="13" spans="1:24" x14ac:dyDescent="0.25">
      <c r="A13" s="257"/>
      <c r="B13" s="262" t="s">
        <v>382</v>
      </c>
      <c r="C13" s="259">
        <v>0</v>
      </c>
      <c r="D13" s="259">
        <v>0</v>
      </c>
      <c r="E13" s="259">
        <v>0</v>
      </c>
      <c r="F13" s="259">
        <v>0</v>
      </c>
      <c r="G13" s="259">
        <v>0</v>
      </c>
      <c r="H13" s="259">
        <v>0</v>
      </c>
      <c r="I13" s="259">
        <v>0</v>
      </c>
      <c r="J13" s="259">
        <v>0</v>
      </c>
      <c r="K13" s="259">
        <v>0</v>
      </c>
      <c r="L13" s="259">
        <v>0</v>
      </c>
      <c r="M13" s="259">
        <v>0</v>
      </c>
      <c r="N13" s="259">
        <v>0</v>
      </c>
      <c r="O13" s="259">
        <v>0</v>
      </c>
      <c r="P13" s="259">
        <v>0</v>
      </c>
      <c r="Q13" s="259">
        <v>0</v>
      </c>
      <c r="R13" s="259">
        <v>0</v>
      </c>
      <c r="S13" s="259">
        <v>0</v>
      </c>
      <c r="T13" s="259">
        <v>0</v>
      </c>
      <c r="U13" s="261">
        <v>0</v>
      </c>
    </row>
    <row r="14" spans="1:24" ht="12" customHeight="1" x14ac:dyDescent="0.25">
      <c r="A14" s="257"/>
      <c r="B14" s="242"/>
      <c r="C14" s="236"/>
      <c r="D14" s="236"/>
      <c r="E14" s="311"/>
      <c r="F14" s="311"/>
      <c r="G14" s="311"/>
      <c r="H14" s="311"/>
      <c r="I14" s="311"/>
      <c r="J14" s="311"/>
      <c r="K14" s="311"/>
      <c r="L14" s="312"/>
      <c r="M14" s="311"/>
      <c r="N14" s="311"/>
      <c r="O14" s="311"/>
      <c r="P14" s="311"/>
      <c r="Q14" s="311"/>
      <c r="R14" s="311"/>
      <c r="S14" s="311"/>
      <c r="T14" s="311"/>
      <c r="U14" s="263"/>
    </row>
    <row r="15" spans="1:24" ht="16.5" thickBot="1" x14ac:dyDescent="0.3">
      <c r="A15" s="264"/>
      <c r="B15" s="315" t="s">
        <v>370</v>
      </c>
      <c r="C15" s="271">
        <f>SUM(C12:C13)</f>
        <v>0.01</v>
      </c>
      <c r="D15" s="316"/>
      <c r="E15" s="271">
        <f>SUMPRODUCT($C$12:$C$13*$D$12:$D$13*E12:E13)</f>
        <v>4.7599999999999996E-2</v>
      </c>
      <c r="F15" s="271">
        <f>SUMPRODUCT($C$12:$C$13*$D$12:$D$13*F12:F13)</f>
        <v>5.9875789473684202E-2</v>
      </c>
      <c r="G15" s="271">
        <f>SUMPRODUCT($C$12:$C$13*$D$12:$D$13*G12:G13)</f>
        <v>3.9598540145985399E-2</v>
      </c>
      <c r="H15" s="271">
        <f>SUMPRODUCT($C$12:$C$13*$D$12:$D$13*H12:H13)</f>
        <v>3.4999999999999996E-2</v>
      </c>
      <c r="I15" s="271">
        <f>SUMPRODUCT($C$12:$C$13*$D$12:$D$13*I12:I13)</f>
        <v>0</v>
      </c>
      <c r="J15" s="271">
        <f>SUMPRODUCT($C$12:$C$13*$D$12:$D$13*J12:J13)</f>
        <v>0</v>
      </c>
      <c r="K15" s="271">
        <f>SUMPRODUCT($C$12:$C$13*$D$12:$D$13*K12:K13)</f>
        <v>0</v>
      </c>
      <c r="L15" s="271">
        <f>SUMPRODUCT($C$12:$C$13*$D$12:$D$13*L12:L13)</f>
        <v>0</v>
      </c>
      <c r="M15" s="271">
        <f>SUMPRODUCT($C$12:$C$13*$D$12:$D$13*M12:M13)</f>
        <v>0</v>
      </c>
      <c r="N15" s="271">
        <f>SUMPRODUCT($C$12:$C$13*$D$12:$D$13*N12:N13)</f>
        <v>0</v>
      </c>
      <c r="O15" s="271">
        <f>SUMPRODUCT($C$12:$C$13*$D$12:$D$13*O12:O13)</f>
        <v>2.1349999999999997E-3</v>
      </c>
      <c r="P15" s="271">
        <f>SUMPRODUCT($C$12:$C$13*$D$12:$D$13*P12:P13)</f>
        <v>9.4499999999999998E-4</v>
      </c>
      <c r="Q15" s="271">
        <f>SUMPRODUCT($C$12:$C$13*$D$12:$D$13*Q12:Q13)</f>
        <v>7.3499999999999987E-4</v>
      </c>
      <c r="R15" s="271">
        <f>SUMPRODUCT($C$12:$C$13*$D$12:$D$13*R12:R13)</f>
        <v>0</v>
      </c>
      <c r="S15" s="271">
        <f>SUMPRODUCT($C$12:$C$13*$D$12:$D$13*S12:S13)</f>
        <v>2.0999999999999998E-4</v>
      </c>
      <c r="T15" s="271">
        <f>SUMPRODUCT($C$12:$C$13*$D$12:$D$13*T12:T13)</f>
        <v>0</v>
      </c>
      <c r="U15" s="272">
        <f>SUMPRODUCT($C$12:$C$13*$D$12:$D$13*U12:U13)</f>
        <v>0</v>
      </c>
    </row>
    <row r="16" spans="1:24" ht="16.5" thickBot="1" x14ac:dyDescent="0.3">
      <c r="A16" s="250"/>
      <c r="O16" s="251"/>
    </row>
    <row r="17" spans="1:42" ht="47.25" x14ac:dyDescent="0.25">
      <c r="A17" s="318" t="s">
        <v>371</v>
      </c>
      <c r="B17" s="320"/>
      <c r="C17" s="231"/>
      <c r="D17" s="267"/>
      <c r="E17" s="253" t="s">
        <v>19</v>
      </c>
      <c r="F17" s="253" t="s">
        <v>20</v>
      </c>
      <c r="G17" s="253" t="s">
        <v>21</v>
      </c>
      <c r="H17" s="253" t="s">
        <v>22</v>
      </c>
      <c r="I17" s="253" t="s">
        <v>23</v>
      </c>
      <c r="J17" s="253" t="s">
        <v>24</v>
      </c>
      <c r="K17" s="253" t="s">
        <v>25</v>
      </c>
      <c r="L17" s="253" t="s">
        <v>26</v>
      </c>
      <c r="M17" s="253" t="s">
        <v>27</v>
      </c>
      <c r="N17" s="253" t="s">
        <v>28</v>
      </c>
      <c r="O17" s="255" t="s">
        <v>29</v>
      </c>
      <c r="P17" s="255" t="s">
        <v>30</v>
      </c>
      <c r="Q17" s="255" t="s">
        <v>31</v>
      </c>
      <c r="R17" s="255" t="s">
        <v>32</v>
      </c>
      <c r="S17" s="255" t="s">
        <v>33</v>
      </c>
      <c r="T17" s="253" t="s">
        <v>34</v>
      </c>
      <c r="U17" s="256" t="s">
        <v>35</v>
      </c>
    </row>
    <row r="18" spans="1:42" x14ac:dyDescent="0.25">
      <c r="A18" s="306"/>
      <c r="B18" s="321"/>
      <c r="C18" s="236"/>
      <c r="D18" s="268" t="s">
        <v>36</v>
      </c>
      <c r="E18" s="269">
        <f>_xlfn.IFNA(VLOOKUP($O$9,Requirment[],10,FALSE)," ")</f>
        <v>11.92468619246862</v>
      </c>
      <c r="F18" s="269">
        <f>_xlfn.IFNA(VLOOKUP($O$9,Requirment[],11,FALSE)," ")</f>
        <v>15</v>
      </c>
      <c r="G18" s="269">
        <f>_xlfn.IFNA(VLOOKUP($O$9,Requirment[],12,FALSE)," ")</f>
        <v>2</v>
      </c>
      <c r="H18" s="269">
        <f>_xlfn.IFNA(VLOOKUP($O$9,Requirment[],13,FALSE)," ")</f>
        <v>0</v>
      </c>
      <c r="I18" s="269">
        <f>_xlfn.IFNA(VLOOKUP($O$9,Requirment[],17,FALSE)," ")</f>
        <v>0.72150072150072142</v>
      </c>
      <c r="J18" s="269">
        <f>_xlfn.IFNA(VLOOKUP($O$9,Requirment[],19,FALSE)," ")</f>
        <v>0.31080031080031079</v>
      </c>
      <c r="K18" s="269">
        <f>_xlfn.IFNA(VLOOKUP($O$9,Requirment[],21,FALSE)," ")</f>
        <v>0.57720057720057716</v>
      </c>
      <c r="L18" s="269">
        <f>_xlfn.IFNA(VLOOKUP($O$9,Requirment[],23,FALSE)," ")</f>
        <v>0.45510045510045505</v>
      </c>
      <c r="M18" s="269">
        <f>_xlfn.IFNA(VLOOKUP($O$9,Requirment[],25,FALSE)," ")</f>
        <v>0.15540015540015539</v>
      </c>
      <c r="N18" s="269">
        <f>_xlfn.IFNA(VLOOKUP($O$9,Requirment[],18,FALSE)," ")</f>
        <v>0.65</v>
      </c>
      <c r="O18" s="269">
        <f>_xlfn.IFNA(VLOOKUP($O$9,Requirment[],20,FALSE)," ")</f>
        <v>0.28000000000000003</v>
      </c>
      <c r="P18" s="269">
        <f>_xlfn.IFNA(VLOOKUP($O$9,Requirment[],22,FALSE)," ")</f>
        <v>0.52</v>
      </c>
      <c r="Q18" s="269">
        <f>_xlfn.IFNA(VLOOKUP($O$9,Requirment[],20,FALSE)," ")</f>
        <v>0.28000000000000003</v>
      </c>
      <c r="R18" s="269">
        <f>_xlfn.IFNA(VLOOKUP($O$9,Requirment[],26,FALSE)," ")</f>
        <v>0.14000000000000001</v>
      </c>
      <c r="S18" s="269">
        <f>_xlfn.IFNA(VLOOKUP($O$9,Requirment[],14,FALSE)," ")</f>
        <v>0.7</v>
      </c>
      <c r="T18" s="269">
        <f>_xlfn.IFNA(VLOOKUP($O$9,Requirment[],15,FALSE)," ")</f>
        <v>0.3</v>
      </c>
      <c r="U18" s="270">
        <f>_xlfn.IFNA(VLOOKUP($O$9,Requirment[],16,FALSE)," ")</f>
        <v>0.15</v>
      </c>
    </row>
    <row r="19" spans="1:42" x14ac:dyDescent="0.25">
      <c r="A19" s="306"/>
      <c r="B19" s="282"/>
      <c r="C19" s="236"/>
      <c r="D19" s="268" t="s">
        <v>81</v>
      </c>
      <c r="E19" s="269">
        <f>_xlfn.IFNA(VLOOKUP($O$9,Requirment[],27,FALSE)," ")</f>
        <v>12.343096234309623</v>
      </c>
      <c r="F19" s="269">
        <f>_xlfn.IFNA(VLOOKUP($O$9,Requirment[],28,FALSE)," ")</f>
        <v>17</v>
      </c>
      <c r="G19" s="269">
        <f>_xlfn.IFNA(VLOOKUP($O$9,Requirment[],29,FALSE)," ")</f>
        <v>7</v>
      </c>
      <c r="H19" s="269">
        <f>_xlfn.IFNA(VLOOKUP($O$9,Requirment[],30,FALSE)," ")</f>
        <v>7</v>
      </c>
      <c r="I19" s="269">
        <f>_xlfn.IFNA(VLOOKUP($O$9,Requirment[],34,FALSE)," ")</f>
        <v>0.83250083250083251</v>
      </c>
      <c r="J19" s="269">
        <f>_xlfn.IFNA(VLOOKUP($O$9,Requirment[],36,FALSE)," ")</f>
        <v>0.42180042180042182</v>
      </c>
      <c r="K19" s="269">
        <f>_xlfn.IFNA(VLOOKUP($O$9,Requirment[],38,FALSE)," ")</f>
        <v>0.68820068820068825</v>
      </c>
      <c r="L19" s="269">
        <f>_xlfn.IFNA(VLOOKUP($O$9,Requirment[],40,FALSE)," ")</f>
        <v>0.67710067710067712</v>
      </c>
      <c r="M19" s="269">
        <f>_xlfn.IFNA(VLOOKUP($O$9,Requirment[],42,FALSE)," ")</f>
        <v>0.37740037740037741</v>
      </c>
      <c r="N19" s="269">
        <f>_xlfn.IFNA(VLOOKUP($O$9,Requirment[],35,FALSE)," ")</f>
        <v>0.75</v>
      </c>
      <c r="O19" s="269">
        <f>_xlfn.IFNA(VLOOKUP($O$9,Requirment[],37,FALSE)," ")</f>
        <v>0.38</v>
      </c>
      <c r="P19" s="269">
        <f>_xlfn.IFNA(VLOOKUP($O$9,Requirment[],39,FALSE)," ")</f>
        <v>0.62</v>
      </c>
      <c r="Q19" s="269">
        <f>_xlfn.IFNA(VLOOKUP($O$9,Requirment[],41,FALSE)," ")</f>
        <v>0.61</v>
      </c>
      <c r="R19" s="269">
        <f>_xlfn.IFNA(VLOOKUP($O$9,Requirment[],43,FALSE)," ")</f>
        <v>0.34</v>
      </c>
      <c r="S19" s="269">
        <f>_xlfn.IFNA(VLOOKUP($O$9,Requirment[],31,FALSE)," ")</f>
        <v>0.9</v>
      </c>
      <c r="T19" s="269">
        <f>_xlfn.IFNA(VLOOKUP($O$9,Requirment[],15,FALSE)," ")</f>
        <v>0.3</v>
      </c>
      <c r="U19" s="270">
        <f>_xlfn.IFNA(VLOOKUP($O$9,Requirment[],33,FALSE)," ")</f>
        <v>0.18</v>
      </c>
    </row>
    <row r="20" spans="1:42" x14ac:dyDescent="0.25">
      <c r="A20" s="306"/>
      <c r="B20" s="282"/>
      <c r="C20" s="236"/>
      <c r="D20" s="236"/>
      <c r="E20" s="236"/>
      <c r="F20" s="236"/>
      <c r="G20" s="236"/>
      <c r="H20" s="236"/>
      <c r="I20" s="236"/>
      <c r="J20" s="236"/>
      <c r="K20" s="236"/>
      <c r="L20" s="236"/>
      <c r="M20" s="236"/>
      <c r="N20" s="236"/>
      <c r="O20" s="236"/>
      <c r="P20" s="236"/>
      <c r="Q20" s="236"/>
      <c r="R20" s="236"/>
      <c r="S20" s="236"/>
      <c r="T20" s="236"/>
      <c r="U20" s="237"/>
    </row>
    <row r="21" spans="1:42" ht="47.25" x14ac:dyDescent="0.25">
      <c r="A21" s="306"/>
      <c r="B21" s="322" t="s">
        <v>372</v>
      </c>
      <c r="C21" s="308" t="s">
        <v>373</v>
      </c>
      <c r="D21" s="308"/>
      <c r="E21" s="309" t="s">
        <v>19</v>
      </c>
      <c r="F21" s="309" t="s">
        <v>20</v>
      </c>
      <c r="G21" s="309" t="s">
        <v>21</v>
      </c>
      <c r="H21" s="309" t="s">
        <v>22</v>
      </c>
      <c r="I21" s="309" t="s">
        <v>23</v>
      </c>
      <c r="J21" s="309" t="s">
        <v>24</v>
      </c>
      <c r="K21" s="309" t="s">
        <v>25</v>
      </c>
      <c r="L21" s="309" t="s">
        <v>26</v>
      </c>
      <c r="M21" s="309" t="s">
        <v>27</v>
      </c>
      <c r="N21" s="309" t="s">
        <v>28</v>
      </c>
      <c r="O21" s="310" t="s">
        <v>29</v>
      </c>
      <c r="P21" s="310" t="s">
        <v>30</v>
      </c>
      <c r="Q21" s="310" t="s">
        <v>31</v>
      </c>
      <c r="R21" s="310" t="s">
        <v>32</v>
      </c>
      <c r="S21" s="310" t="s">
        <v>33</v>
      </c>
      <c r="T21" s="309" t="s">
        <v>34</v>
      </c>
      <c r="U21" s="323" t="s">
        <v>35</v>
      </c>
    </row>
    <row r="22" spans="1:42" s="243" customFormat="1" x14ac:dyDescent="0.25">
      <c r="A22" s="306"/>
      <c r="B22" s="324">
        <v>0.1</v>
      </c>
      <c r="C22" s="317" t="s">
        <v>374</v>
      </c>
      <c r="D22" s="317"/>
      <c r="E22" s="307">
        <f t="shared" ref="E22:U22" si="0">AVERAGE(E18:E19)</f>
        <v>12.133891213389122</v>
      </c>
      <c r="F22" s="307">
        <f t="shared" si="0"/>
        <v>16</v>
      </c>
      <c r="G22" s="307">
        <f t="shared" si="0"/>
        <v>4.5</v>
      </c>
      <c r="H22" s="307">
        <f t="shared" si="0"/>
        <v>3.5</v>
      </c>
      <c r="I22" s="307">
        <f t="shared" si="0"/>
        <v>0.77700077700077697</v>
      </c>
      <c r="J22" s="307">
        <f t="shared" si="0"/>
        <v>0.36630036630036633</v>
      </c>
      <c r="K22" s="307">
        <f t="shared" si="0"/>
        <v>0.6327006327006327</v>
      </c>
      <c r="L22" s="307">
        <f t="shared" si="0"/>
        <v>0.56610056610056603</v>
      </c>
      <c r="M22" s="307">
        <f t="shared" si="0"/>
        <v>0.26640026640026637</v>
      </c>
      <c r="N22" s="307">
        <f t="shared" si="0"/>
        <v>0.7</v>
      </c>
      <c r="O22" s="307">
        <f t="shared" si="0"/>
        <v>0.33</v>
      </c>
      <c r="P22" s="307">
        <f t="shared" si="0"/>
        <v>0.57000000000000006</v>
      </c>
      <c r="Q22" s="307">
        <f t="shared" si="0"/>
        <v>0.44500000000000001</v>
      </c>
      <c r="R22" s="307">
        <f t="shared" si="0"/>
        <v>0.24000000000000002</v>
      </c>
      <c r="S22" s="307">
        <f t="shared" si="0"/>
        <v>0.8</v>
      </c>
      <c r="T22" s="307">
        <f t="shared" si="0"/>
        <v>0.3</v>
      </c>
      <c r="U22" s="325">
        <f t="shared" si="0"/>
        <v>0.16499999999999998</v>
      </c>
    </row>
    <row r="23" spans="1:42" x14ac:dyDescent="0.25">
      <c r="A23" s="306"/>
      <c r="B23" s="326">
        <f>B22*1000</f>
        <v>100</v>
      </c>
      <c r="C23" s="236"/>
      <c r="D23" s="236"/>
      <c r="E23" s="236"/>
      <c r="F23" s="236"/>
      <c r="G23" s="236"/>
      <c r="H23" s="236"/>
      <c r="I23" s="236"/>
      <c r="J23" s="236"/>
      <c r="K23" s="236"/>
      <c r="L23" s="236"/>
      <c r="M23" s="327"/>
      <c r="N23" s="236"/>
      <c r="O23" s="236"/>
      <c r="P23" s="236"/>
      <c r="Q23" s="236"/>
      <c r="R23" s="236"/>
      <c r="S23" s="236"/>
      <c r="T23" s="236"/>
      <c r="U23" s="237"/>
    </row>
    <row r="24" spans="1:42" s="243" customFormat="1" ht="16.5" thickBot="1" x14ac:dyDescent="0.3">
      <c r="A24" s="319"/>
      <c r="B24" s="328" t="s">
        <v>383</v>
      </c>
      <c r="C24" s="329" t="s">
        <v>375</v>
      </c>
      <c r="D24" s="329"/>
      <c r="E24" s="271">
        <f t="shared" ref="E24:U24" si="1">E22*$B$22</f>
        <v>1.2133891213389123</v>
      </c>
      <c r="F24" s="271">
        <f t="shared" si="1"/>
        <v>1.6</v>
      </c>
      <c r="G24" s="271">
        <f t="shared" si="1"/>
        <v>0.45</v>
      </c>
      <c r="H24" s="271">
        <f t="shared" si="1"/>
        <v>0.35000000000000003</v>
      </c>
      <c r="I24" s="271">
        <f t="shared" si="1"/>
        <v>7.7700077700077697E-2</v>
      </c>
      <c r="J24" s="271">
        <f t="shared" si="1"/>
        <v>3.6630036630036632E-2</v>
      </c>
      <c r="K24" s="271">
        <f t="shared" si="1"/>
        <v>6.3270063270063279E-2</v>
      </c>
      <c r="L24" s="271">
        <f t="shared" si="1"/>
        <v>5.6610056610056608E-2</v>
      </c>
      <c r="M24" s="271">
        <f t="shared" si="1"/>
        <v>2.664002664002664E-2</v>
      </c>
      <c r="N24" s="271">
        <f t="shared" si="1"/>
        <v>6.9999999999999993E-2</v>
      </c>
      <c r="O24" s="271">
        <f t="shared" si="1"/>
        <v>3.3000000000000002E-2</v>
      </c>
      <c r="P24" s="271">
        <f t="shared" si="1"/>
        <v>5.7000000000000009E-2</v>
      </c>
      <c r="Q24" s="271">
        <f t="shared" si="1"/>
        <v>4.4500000000000005E-2</v>
      </c>
      <c r="R24" s="271">
        <f t="shared" si="1"/>
        <v>2.4000000000000004E-2</v>
      </c>
      <c r="S24" s="271">
        <f t="shared" si="1"/>
        <v>8.0000000000000016E-2</v>
      </c>
      <c r="T24" s="271">
        <f t="shared" si="1"/>
        <v>0.03</v>
      </c>
      <c r="U24" s="272">
        <f t="shared" si="1"/>
        <v>1.6499999999999997E-2</v>
      </c>
    </row>
    <row r="25" spans="1:42" ht="16.5" thickBot="1" x14ac:dyDescent="0.3">
      <c r="A25" s="250"/>
      <c r="L25" s="251"/>
    </row>
    <row r="26" spans="1:42" s="243" customFormat="1" ht="50.25" customHeight="1" x14ac:dyDescent="0.25">
      <c r="A26" s="221" t="s">
        <v>376</v>
      </c>
      <c r="B26" s="222"/>
      <c r="C26" s="273"/>
      <c r="D26" s="274"/>
      <c r="E26" s="253" t="s">
        <v>19</v>
      </c>
      <c r="F26" s="253" t="s">
        <v>20</v>
      </c>
      <c r="G26" s="253" t="s">
        <v>21</v>
      </c>
      <c r="H26" s="253" t="s">
        <v>22</v>
      </c>
      <c r="I26" s="253" t="s">
        <v>23</v>
      </c>
      <c r="J26" s="253" t="s">
        <v>24</v>
      </c>
      <c r="K26" s="253" t="s">
        <v>25</v>
      </c>
      <c r="L26" s="253" t="s">
        <v>26</v>
      </c>
      <c r="M26" s="253" t="s">
        <v>27</v>
      </c>
      <c r="N26" s="253" t="s">
        <v>28</v>
      </c>
      <c r="O26" s="255" t="s">
        <v>29</v>
      </c>
      <c r="P26" s="255" t="s">
        <v>30</v>
      </c>
      <c r="Q26" s="255" t="s">
        <v>31</v>
      </c>
      <c r="R26" s="255" t="s">
        <v>32</v>
      </c>
      <c r="S26" s="255" t="s">
        <v>33</v>
      </c>
      <c r="T26" s="253" t="s">
        <v>34</v>
      </c>
      <c r="U26" s="256" t="s">
        <v>35</v>
      </c>
    </row>
    <row r="27" spans="1:42" s="243" customFormat="1" ht="31.5" x14ac:dyDescent="0.25">
      <c r="A27" s="223"/>
      <c r="B27" s="275" t="s">
        <v>377</v>
      </c>
      <c r="C27" s="276" t="s">
        <v>17</v>
      </c>
      <c r="D27" s="276"/>
      <c r="E27" s="277">
        <f t="shared" ref="E27:U27" si="2">E24-E15</f>
        <v>1.1657891213389122</v>
      </c>
      <c r="F27" s="277">
        <f t="shared" si="2"/>
        <v>1.540124210526316</v>
      </c>
      <c r="G27" s="277">
        <f t="shared" si="2"/>
        <v>0.41040145985401461</v>
      </c>
      <c r="H27" s="277">
        <f t="shared" si="2"/>
        <v>0.31500000000000006</v>
      </c>
      <c r="I27" s="277">
        <f t="shared" si="2"/>
        <v>7.7700077700077697E-2</v>
      </c>
      <c r="J27" s="277">
        <f t="shared" si="2"/>
        <v>3.6630036630036632E-2</v>
      </c>
      <c r="K27" s="277">
        <f t="shared" si="2"/>
        <v>6.3270063270063279E-2</v>
      </c>
      <c r="L27" s="277">
        <f t="shared" si="2"/>
        <v>5.6610056610056608E-2</v>
      </c>
      <c r="M27" s="277">
        <f t="shared" si="2"/>
        <v>2.664002664002664E-2</v>
      </c>
      <c r="N27" s="277">
        <f t="shared" si="2"/>
        <v>6.9999999999999993E-2</v>
      </c>
      <c r="O27" s="277">
        <f t="shared" si="2"/>
        <v>3.0865000000000004E-2</v>
      </c>
      <c r="P27" s="277">
        <f t="shared" si="2"/>
        <v>5.6055000000000008E-2</v>
      </c>
      <c r="Q27" s="277">
        <f t="shared" si="2"/>
        <v>4.3765000000000005E-2</v>
      </c>
      <c r="R27" s="277">
        <f t="shared" si="2"/>
        <v>2.4000000000000004E-2</v>
      </c>
      <c r="S27" s="277">
        <f t="shared" si="2"/>
        <v>7.9790000000000014E-2</v>
      </c>
      <c r="T27" s="277">
        <f t="shared" si="2"/>
        <v>0.03</v>
      </c>
      <c r="U27" s="278">
        <f t="shared" si="2"/>
        <v>1.6499999999999997E-2</v>
      </c>
    </row>
    <row r="28" spans="1:42" s="243" customFormat="1" ht="35.25" customHeight="1" thickBot="1" x14ac:dyDescent="0.3">
      <c r="A28" s="224"/>
      <c r="B28" s="314" t="s">
        <v>378</v>
      </c>
      <c r="C28" s="279">
        <v>0.09</v>
      </c>
      <c r="D28" s="279"/>
      <c r="E28" s="280">
        <f>E27/$C$28</f>
        <v>12.953212459321247</v>
      </c>
      <c r="F28" s="280">
        <f t="shared" ref="F28:U28" si="3">F27/$C$28</f>
        <v>17.11249122807018</v>
      </c>
      <c r="G28" s="280">
        <f t="shared" si="3"/>
        <v>4.5600162206001622</v>
      </c>
      <c r="H28" s="280">
        <f t="shared" si="3"/>
        <v>3.5000000000000009</v>
      </c>
      <c r="I28" s="280">
        <f t="shared" si="3"/>
        <v>0.86333419666752997</v>
      </c>
      <c r="J28" s="280">
        <f>J27/$C$28</f>
        <v>0.40700040700040702</v>
      </c>
      <c r="K28" s="280">
        <f t="shared" si="3"/>
        <v>0.70300070300070316</v>
      </c>
      <c r="L28" s="280">
        <f t="shared" si="3"/>
        <v>0.62900062900062903</v>
      </c>
      <c r="M28" s="280">
        <f t="shared" si="3"/>
        <v>0.29600029600029604</v>
      </c>
      <c r="N28" s="280">
        <f t="shared" si="3"/>
        <v>0.77777777777777768</v>
      </c>
      <c r="O28" s="280">
        <f t="shared" si="3"/>
        <v>0.3429444444444445</v>
      </c>
      <c r="P28" s="280">
        <f t="shared" si="3"/>
        <v>0.62283333333333346</v>
      </c>
      <c r="Q28" s="280">
        <f t="shared" si="3"/>
        <v>0.48627777777777786</v>
      </c>
      <c r="R28" s="280">
        <f t="shared" si="3"/>
        <v>0.26666666666666672</v>
      </c>
      <c r="S28" s="280">
        <f t="shared" si="3"/>
        <v>0.88655555555555576</v>
      </c>
      <c r="T28" s="280">
        <f t="shared" si="3"/>
        <v>0.33333333333333331</v>
      </c>
      <c r="U28" s="281">
        <f t="shared" si="3"/>
        <v>0.18333333333333332</v>
      </c>
    </row>
    <row r="29" spans="1:42" ht="16.5" thickBot="1" x14ac:dyDescent="0.3">
      <c r="A29" s="282"/>
      <c r="B29" s="283"/>
      <c r="C29" s="284"/>
      <c r="D29" s="285"/>
      <c r="E29" s="285"/>
      <c r="F29" s="286"/>
      <c r="G29" s="286"/>
      <c r="H29" s="286"/>
      <c r="I29" s="286"/>
      <c r="J29" s="286"/>
      <c r="K29" s="286"/>
      <c r="L29" s="286"/>
      <c r="M29" s="286"/>
      <c r="N29" s="286"/>
      <c r="O29" s="286"/>
      <c r="P29" s="286"/>
      <c r="Q29" s="286"/>
      <c r="R29" s="286"/>
      <c r="S29" s="286"/>
      <c r="T29" s="286"/>
      <c r="U29" s="286"/>
    </row>
    <row r="30" spans="1:42" s="243" customFormat="1" ht="47.25" x14ac:dyDescent="0.25">
      <c r="A30" s="330" t="s">
        <v>379</v>
      </c>
      <c r="B30" s="332" t="s">
        <v>204</v>
      </c>
      <c r="C30" s="287" t="s">
        <v>205</v>
      </c>
      <c r="D30" s="287" t="s">
        <v>206</v>
      </c>
      <c r="E30" s="288" t="s">
        <v>207</v>
      </c>
      <c r="F30" s="289" t="s">
        <v>5</v>
      </c>
      <c r="G30" s="289" t="s">
        <v>208</v>
      </c>
      <c r="H30" s="289" t="s">
        <v>209</v>
      </c>
      <c r="I30" s="289" t="s">
        <v>210</v>
      </c>
      <c r="J30" s="289" t="s">
        <v>211</v>
      </c>
      <c r="K30" s="289" t="s">
        <v>212</v>
      </c>
      <c r="L30" s="289" t="s">
        <v>213</v>
      </c>
      <c r="M30" s="289" t="s">
        <v>214</v>
      </c>
      <c r="N30" s="289" t="s">
        <v>215</v>
      </c>
      <c r="O30" s="289" t="s">
        <v>216</v>
      </c>
      <c r="P30" s="289" t="s">
        <v>217</v>
      </c>
      <c r="Q30" s="289" t="s">
        <v>341</v>
      </c>
      <c r="R30" s="289" t="s">
        <v>218</v>
      </c>
      <c r="S30" s="289" t="s">
        <v>342</v>
      </c>
      <c r="T30" s="289" t="s">
        <v>219</v>
      </c>
      <c r="U30" s="289" t="s">
        <v>343</v>
      </c>
      <c r="V30" s="289" t="s">
        <v>220</v>
      </c>
      <c r="W30" s="289" t="s">
        <v>344</v>
      </c>
      <c r="X30" s="289" t="s">
        <v>349</v>
      </c>
      <c r="Y30" s="289" t="s">
        <v>350</v>
      </c>
      <c r="Z30" s="289" t="s">
        <v>221</v>
      </c>
      <c r="AA30" s="289" t="s">
        <v>222</v>
      </c>
      <c r="AB30" s="289" t="s">
        <v>223</v>
      </c>
      <c r="AC30" s="289" t="s">
        <v>224</v>
      </c>
      <c r="AD30" s="289" t="s">
        <v>225</v>
      </c>
      <c r="AE30" s="289" t="s">
        <v>226</v>
      </c>
      <c r="AF30" s="289" t="s">
        <v>227</v>
      </c>
      <c r="AG30" s="289" t="s">
        <v>228</v>
      </c>
      <c r="AH30" s="289" t="s">
        <v>345</v>
      </c>
      <c r="AI30" s="289" t="s">
        <v>229</v>
      </c>
      <c r="AJ30" s="289" t="s">
        <v>346</v>
      </c>
      <c r="AK30" s="289" t="s">
        <v>230</v>
      </c>
      <c r="AL30" s="289" t="s">
        <v>347</v>
      </c>
      <c r="AM30" s="289" t="s">
        <v>231</v>
      </c>
      <c r="AN30" s="289" t="s">
        <v>232</v>
      </c>
      <c r="AO30" s="289" t="s">
        <v>351</v>
      </c>
      <c r="AP30" s="290" t="s">
        <v>352</v>
      </c>
    </row>
    <row r="31" spans="1:42" s="292" customFormat="1" ht="16.5" thickBot="1" x14ac:dyDescent="0.3">
      <c r="A31" s="331" t="s">
        <v>380</v>
      </c>
      <c r="B31" s="333" t="str">
        <f>C5</f>
        <v>Broiler</v>
      </c>
      <c r="C31" s="291" t="str">
        <f>CONCATENATE(O2,"_",O3,"_",B12)</f>
        <v>Broiler_2.6 kg alive at 98 days_3 feeds_3_Finishing_Red clover silage</v>
      </c>
      <c r="D31" s="291">
        <f>C8</f>
        <v>3</v>
      </c>
      <c r="E31" s="291" t="str">
        <f>O3</f>
        <v>Finishing</v>
      </c>
      <c r="F31" s="265" t="str">
        <f>O4</f>
        <v>63-98 day</v>
      </c>
      <c r="G31" s="291" t="str">
        <f>O5</f>
        <v>France</v>
      </c>
      <c r="H31" s="265" t="str">
        <f>O6</f>
        <v>broiler</v>
      </c>
      <c r="I31" s="265">
        <f>E28</f>
        <v>12.953212459321247</v>
      </c>
      <c r="J31" s="265">
        <f>F28</f>
        <v>17.11249122807018</v>
      </c>
      <c r="K31" s="265">
        <f t="shared" ref="K31:Y31" si="4">G28</f>
        <v>4.5600162206001622</v>
      </c>
      <c r="L31" s="265">
        <f t="shared" si="4"/>
        <v>3.5000000000000009</v>
      </c>
      <c r="M31" s="265">
        <f t="shared" si="4"/>
        <v>0.86333419666752997</v>
      </c>
      <c r="N31" s="265">
        <f t="shared" si="4"/>
        <v>0.40700040700040702</v>
      </c>
      <c r="O31" s="265">
        <f t="shared" si="4"/>
        <v>0.70300070300070316</v>
      </c>
      <c r="P31" s="265">
        <f t="shared" si="4"/>
        <v>0.62900062900062903</v>
      </c>
      <c r="Q31" s="265">
        <f t="shared" si="4"/>
        <v>0.29600029600029604</v>
      </c>
      <c r="R31" s="265">
        <f t="shared" si="4"/>
        <v>0.77777777777777768</v>
      </c>
      <c r="S31" s="265">
        <f t="shared" si="4"/>
        <v>0.3429444444444445</v>
      </c>
      <c r="T31" s="265">
        <f t="shared" si="4"/>
        <v>0.62283333333333346</v>
      </c>
      <c r="U31" s="265">
        <f t="shared" si="4"/>
        <v>0.48627777777777786</v>
      </c>
      <c r="V31" s="265">
        <f t="shared" si="4"/>
        <v>0.26666666666666672</v>
      </c>
      <c r="W31" s="265">
        <f t="shared" si="4"/>
        <v>0.88655555555555576</v>
      </c>
      <c r="X31" s="265">
        <f t="shared" si="4"/>
        <v>0.33333333333333331</v>
      </c>
      <c r="Y31" s="265">
        <f t="shared" si="4"/>
        <v>0.18333333333333332</v>
      </c>
      <c r="Z31" s="265">
        <v>0</v>
      </c>
      <c r="AA31" s="265">
        <v>0</v>
      </c>
      <c r="AB31" s="265">
        <v>0</v>
      </c>
      <c r="AC31" s="265">
        <v>0</v>
      </c>
      <c r="AD31" s="265">
        <v>0</v>
      </c>
      <c r="AE31" s="265">
        <v>0</v>
      </c>
      <c r="AF31" s="265">
        <v>0</v>
      </c>
      <c r="AG31" s="265">
        <v>0</v>
      </c>
      <c r="AH31" s="265">
        <v>0</v>
      </c>
      <c r="AI31" s="265">
        <v>0</v>
      </c>
      <c r="AJ31" s="265">
        <v>0</v>
      </c>
      <c r="AK31" s="265">
        <v>0</v>
      </c>
      <c r="AL31" s="265">
        <v>0</v>
      </c>
      <c r="AM31" s="265">
        <v>0</v>
      </c>
      <c r="AN31" s="265">
        <v>0</v>
      </c>
      <c r="AO31" s="265">
        <v>0</v>
      </c>
      <c r="AP31" s="266">
        <v>0</v>
      </c>
    </row>
  </sheetData>
  <mergeCells count="24">
    <mergeCell ref="L6:N6"/>
    <mergeCell ref="O6:T6"/>
    <mergeCell ref="O2:T2"/>
    <mergeCell ref="O3:T3"/>
    <mergeCell ref="C27:D27"/>
    <mergeCell ref="C28:D28"/>
    <mergeCell ref="C6:F6"/>
    <mergeCell ref="C7:F7"/>
    <mergeCell ref="C21:D21"/>
    <mergeCell ref="C22:D22"/>
    <mergeCell ref="C24:D24"/>
    <mergeCell ref="C26:D26"/>
    <mergeCell ref="C8:F8"/>
    <mergeCell ref="C9:F9"/>
    <mergeCell ref="C4:F4"/>
    <mergeCell ref="L4:N4"/>
    <mergeCell ref="O4:T4"/>
    <mergeCell ref="C5:F5"/>
    <mergeCell ref="L5:N5"/>
    <mergeCell ref="O5:T5"/>
    <mergeCell ref="C2:F2"/>
    <mergeCell ref="L2:N2"/>
    <mergeCell ref="C3:F3"/>
    <mergeCell ref="L3:N3"/>
  </mergeCells>
  <dataValidations count="3">
    <dataValidation type="list" allowBlank="1" showInputMessage="1" showErrorMessage="1" sqref="O3" xr:uid="{D8CFD357-EA49-41AC-8C2C-260524E375B2}">
      <formula1>OFFSET(p_formula,0,0,COUNTA(l_formula),-1)</formula1>
    </dataValidation>
    <dataValidation type="list" allowBlank="1" showInputMessage="1" showErrorMessage="1" sqref="O2" xr:uid="{05DA6AC8-F675-418C-B527-418A14954B22}">
      <formula1>OFFSET(p_scenarios,0,0,COUNTA(l_scenarios),-1)</formula1>
    </dataValidation>
    <dataValidation type="whole" allowBlank="1" showInputMessage="1" showErrorMessage="1" error="This cell cannot be modify" sqref="A1:B10 C1:V1 G2:K9 C10:V10 L2:N9 O4:T9 U2:V9 A11:A16 B14:V16 B11:V11 V12:V13 A17:A25 B17:V21 B23:V25 C22:V22 A26:B29 C26:V27 E28:V28 C29:V29 A30:V32 W1:AS32" xr:uid="{B95FFC5D-383A-4B61-AE6E-A7C098C58D01}">
      <formula1>99999</formula1>
      <formula2>100000</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pageSetUpPr fitToPage="1"/>
  </sheetPr>
  <dimension ref="A1:G54"/>
  <sheetViews>
    <sheetView zoomScale="70" zoomScaleNormal="70" workbookViewId="0">
      <selection activeCell="I26" sqref="I26"/>
    </sheetView>
  </sheetViews>
  <sheetFormatPr baseColWidth="10" defaultColWidth="11.42578125" defaultRowHeight="15" x14ac:dyDescent="0.25"/>
  <cols>
    <col min="1" max="1" width="31" customWidth="1"/>
    <col min="2" max="2" width="15.28515625" customWidth="1"/>
    <col min="3" max="3" width="13.42578125" customWidth="1"/>
    <col min="4" max="4" width="13.140625" customWidth="1"/>
    <col min="5" max="5" width="13.28515625" customWidth="1"/>
    <col min="6" max="6" width="10.28515625" customWidth="1"/>
    <col min="9" max="9" width="18.42578125" customWidth="1"/>
  </cols>
  <sheetData>
    <row r="1" spans="1:7" ht="15.75" x14ac:dyDescent="0.25">
      <c r="A1" s="21" t="str">
        <f>CONCATENATE("RATION REALIZED ON: "&amp;TEXT(Tool!E5,"jj/mm/aaaa"))</f>
        <v>RATION REALIZED ON: 00/01/1900</v>
      </c>
      <c r="B1" s="25"/>
      <c r="C1" s="21"/>
      <c r="D1" s="21"/>
      <c r="E1" s="24"/>
      <c r="F1" s="21"/>
      <c r="G1" s="21"/>
    </row>
    <row r="2" spans="1:7" ht="3.75" customHeight="1" x14ac:dyDescent="0.25"/>
    <row r="3" spans="1:7" ht="15.75" x14ac:dyDescent="0.25">
      <c r="A3" s="19" t="s">
        <v>279</v>
      </c>
      <c r="B3" s="19"/>
      <c r="C3" s="19"/>
      <c r="D3" s="19"/>
      <c r="E3" s="19"/>
      <c r="F3" s="19"/>
      <c r="G3" s="19"/>
    </row>
    <row r="4" spans="1:7" x14ac:dyDescent="0.25">
      <c r="A4" s="17" t="str">
        <f>Tool!D3</f>
        <v>Identity of the farm:</v>
      </c>
      <c r="B4" s="23" t="str">
        <f>IF(Tool!E3&lt;&gt;"",Tool!E3,"")</f>
        <v/>
      </c>
      <c r="C4" s="18"/>
      <c r="D4" s="18"/>
    </row>
    <row r="5" spans="1:7" x14ac:dyDescent="0.25">
      <c r="A5" s="17" t="str">
        <f>Tool!D4</f>
        <v>Farmer's name:</v>
      </c>
      <c r="B5" s="23" t="str">
        <f>IF(Tool!E4&lt;&gt;"",Tool!E4,"")</f>
        <v/>
      </c>
      <c r="C5" s="18"/>
      <c r="D5" s="18"/>
    </row>
    <row r="6" spans="1:7" x14ac:dyDescent="0.25">
      <c r="A6" s="17" t="str">
        <f>Tool!D6</f>
        <v>Production:</v>
      </c>
      <c r="B6" s="23" t="str">
        <f>IF(Tool!E6&lt;&gt;"",Tool!E6,"")</f>
        <v/>
      </c>
      <c r="C6" s="18"/>
      <c r="D6" s="18"/>
    </row>
    <row r="7" spans="1:7" x14ac:dyDescent="0.25">
      <c r="A7" s="17" t="str">
        <f>Tool!D7</f>
        <v>Poultry Flocks</v>
      </c>
      <c r="B7" s="23" t="str">
        <f>IF(Tool!E7&lt;&gt;"",Tool!E7,"")</f>
        <v/>
      </c>
      <c r="C7" s="18"/>
      <c r="D7" s="18"/>
    </row>
    <row r="8" spans="1:7" x14ac:dyDescent="0.25">
      <c r="A8" s="17" t="str">
        <f>Tool!D8</f>
        <v>Objectives (kg, days)</v>
      </c>
      <c r="B8" s="23" t="str">
        <f>IF(Tool!E8&lt;&gt;"",Tool!E8,"")</f>
        <v/>
      </c>
      <c r="C8" s="18"/>
      <c r="D8" s="18"/>
    </row>
    <row r="9" spans="1:7" x14ac:dyDescent="0.25">
      <c r="A9" s="17" t="str">
        <f>Tool!D9</f>
        <v xml:space="preserve">Number of  feed phases </v>
      </c>
      <c r="B9" s="23" t="str">
        <f>IF(Tool!E9&lt;&gt;"",Tool!E9,"")</f>
        <v/>
      </c>
      <c r="C9" s="18"/>
      <c r="D9" s="18"/>
    </row>
    <row r="10" spans="1:7" x14ac:dyDescent="0.25">
      <c r="A10" s="17" t="str">
        <f>Tool!D10</f>
        <v>Type of animals</v>
      </c>
      <c r="B10" s="23" t="str">
        <f>IF(Tool!E10&lt;&gt;"",Tool!E10,"")</f>
        <v/>
      </c>
      <c r="C10" s="18"/>
      <c r="D10" s="18"/>
    </row>
    <row r="11" spans="1:7" ht="6" customHeight="1" x14ac:dyDescent="0.25">
      <c r="A11" s="17"/>
      <c r="C11" s="18"/>
      <c r="D11" s="18"/>
    </row>
    <row r="12" spans="1:7" ht="16.5" thickBot="1" x14ac:dyDescent="0.3">
      <c r="A12" s="19" t="s">
        <v>280</v>
      </c>
      <c r="B12" s="19"/>
      <c r="C12" s="19"/>
      <c r="D12" s="19"/>
      <c r="E12" s="19"/>
      <c r="F12" s="19"/>
      <c r="G12" s="19"/>
    </row>
    <row r="13" spans="1:7" ht="15.75" thickBot="1" x14ac:dyDescent="0.3">
      <c r="A13" s="17" t="s">
        <v>281</v>
      </c>
      <c r="B13" s="31" t="str">
        <f>Tool!L3&amp;"_"&amp;Tool!L4</f>
        <v>Broiler_Broiler_2.6 kg alive at 98 days_3 feeds_3_Finishing_Red clover silage_3_Finishing</v>
      </c>
      <c r="C13" s="32"/>
      <c r="D13" s="32"/>
      <c r="E13" s="32"/>
      <c r="F13" s="33"/>
    </row>
    <row r="14" spans="1:7" ht="3.75" customHeight="1" x14ac:dyDescent="0.25"/>
    <row r="15" spans="1:7" ht="15.75" x14ac:dyDescent="0.25">
      <c r="A15" s="19" t="s">
        <v>282</v>
      </c>
      <c r="B15" s="22">
        <f>Tool!E11</f>
        <v>0</v>
      </c>
      <c r="C15" s="21" t="s">
        <v>17</v>
      </c>
      <c r="D15" s="21"/>
      <c r="E15" s="19"/>
      <c r="F15" s="19"/>
      <c r="G15" s="19"/>
    </row>
    <row r="16" spans="1:7" ht="4.5" customHeight="1" x14ac:dyDescent="0.25"/>
    <row r="17" spans="1:6" ht="15" customHeight="1" x14ac:dyDescent="0.25">
      <c r="B17" s="1" t="s">
        <v>18</v>
      </c>
      <c r="C17" s="1" t="s">
        <v>17</v>
      </c>
      <c r="D17" s="1" t="s">
        <v>283</v>
      </c>
      <c r="E17" s="1" t="s">
        <v>284</v>
      </c>
    </row>
    <row r="18" spans="1:6" x14ac:dyDescent="0.25">
      <c r="A18" s="20" t="str">
        <f>IF(Tool!D14&lt;&gt;"",IF(Tool!F14&lt;&gt;0,Tool!D14,""),"")</f>
        <v/>
      </c>
      <c r="B18" s="43" t="str">
        <f>IF(Tool!F14&lt;&gt;"",IF(Tool!F14&lt;&gt;0,Tool!F14,""))</f>
        <v/>
      </c>
      <c r="C18" s="43" t="str">
        <f>IF(Tool!E14&lt;&gt;"",IF(Tool!E14&lt;&gt;0,Tool!E14,""))</f>
        <v/>
      </c>
      <c r="D18" s="42" t="str">
        <f>IF(A18&lt;&gt;"",Tool!AE14,"")</f>
        <v/>
      </c>
      <c r="E18" s="26" t="str">
        <f>IF(A18&lt;&gt;"",Tool!AC14,"")</f>
        <v/>
      </c>
      <c r="F18" s="17" t="str">
        <f>IF(E18&lt;&gt;"","/Tonne","")</f>
        <v/>
      </c>
    </row>
    <row r="19" spans="1:6" x14ac:dyDescent="0.25">
      <c r="A19" s="20" t="str">
        <f>IF(Tool!D15&lt;&gt;"",IF(Tool!F15&lt;&gt;0,Tool!D15,""),"")</f>
        <v/>
      </c>
      <c r="B19" s="43" t="str">
        <f>IF(Tool!F15&lt;&gt;"",IF(Tool!F15&lt;&gt;0,Tool!F15,""))</f>
        <v/>
      </c>
      <c r="C19" s="43" t="str">
        <f>IF(Tool!E15&lt;&gt;"",IF(Tool!E15&lt;&gt;0,Tool!E15,""))</f>
        <v/>
      </c>
      <c r="D19" s="42" t="str">
        <f>IF(A19&lt;&gt;"",Tool!AE15,"")</f>
        <v/>
      </c>
      <c r="E19" s="26" t="str">
        <f>IF(A19&lt;&gt;"",Tool!AC15,"")</f>
        <v/>
      </c>
      <c r="F19" s="17" t="str">
        <f>IF(E19&lt;&gt;"","/Tonne","")</f>
        <v/>
      </c>
    </row>
    <row r="20" spans="1:6" x14ac:dyDescent="0.25">
      <c r="A20" s="20" t="str">
        <f>IF(Tool!D16&lt;&gt;"",IF(Tool!F16&lt;&gt;0,Tool!D16,""),"")</f>
        <v/>
      </c>
      <c r="B20" s="43" t="str">
        <f>IF(Tool!F16&lt;&gt;"",IF(Tool!F16&lt;&gt;0,Tool!F16,""))</f>
        <v/>
      </c>
      <c r="C20" s="43" t="str">
        <f>IF(Tool!E16&lt;&gt;"",IF(Tool!E16&lt;&gt;0,Tool!E16,""))</f>
        <v/>
      </c>
      <c r="D20" s="42" t="str">
        <f>IF(A20&lt;&gt;"",Tool!AE16,"")</f>
        <v/>
      </c>
      <c r="E20" s="26" t="str">
        <f>IF(A20&lt;&gt;"",Tool!AC16,"")</f>
        <v/>
      </c>
      <c r="F20" s="17" t="str">
        <f t="shared" ref="F20:F29" si="0">IF(E20&lt;&gt;"","/Tonne","")</f>
        <v/>
      </c>
    </row>
    <row r="21" spans="1:6" x14ac:dyDescent="0.25">
      <c r="A21" s="20" t="str">
        <f>IF(Tool!D17&lt;&gt;"",IF(Tool!F17&lt;&gt;0,Tool!D17,""),"")</f>
        <v/>
      </c>
      <c r="B21" s="43" t="str">
        <f>IF(Tool!F17&lt;&gt;"",IF(Tool!F17&lt;&gt;0,Tool!F17,""))</f>
        <v/>
      </c>
      <c r="C21" s="43" t="str">
        <f>IF(Tool!E17&lt;&gt;"",IF(Tool!E17&lt;&gt;0,Tool!E17,""))</f>
        <v/>
      </c>
      <c r="D21" s="42" t="str">
        <f>IF(A21&lt;&gt;"",Tool!AE17,"")</f>
        <v/>
      </c>
      <c r="E21" s="26" t="str">
        <f>IF(A21&lt;&gt;"",Tool!AC17,"")</f>
        <v/>
      </c>
      <c r="F21" s="17" t="str">
        <f t="shared" si="0"/>
        <v/>
      </c>
    </row>
    <row r="22" spans="1:6" x14ac:dyDescent="0.25">
      <c r="A22" s="20" t="str">
        <f>IF(Tool!D18&lt;&gt;"",IF(Tool!F18&lt;&gt;0,Tool!D18,""),"")</f>
        <v/>
      </c>
      <c r="B22" s="43" t="str">
        <f>IF(Tool!F18&lt;&gt;"",IF(Tool!F18&lt;&gt;0,Tool!F18,""))</f>
        <v/>
      </c>
      <c r="C22" s="43" t="str">
        <f>IF(Tool!E18&lt;&gt;"",IF(Tool!E18&lt;&gt;0,Tool!E18,""))</f>
        <v/>
      </c>
      <c r="D22" s="42" t="str">
        <f>IF(A22&lt;&gt;"",Tool!AE18,"")</f>
        <v/>
      </c>
      <c r="E22" s="26" t="str">
        <f>IF(A22&lt;&gt;"",Tool!AC18,"")</f>
        <v/>
      </c>
      <c r="F22" s="17" t="str">
        <f t="shared" si="0"/>
        <v/>
      </c>
    </row>
    <row r="23" spans="1:6" x14ac:dyDescent="0.25">
      <c r="A23" s="20" t="str">
        <f>IF(Tool!D19&lt;&gt;"",IF(Tool!F19&lt;&gt;0,Tool!D19,""),"")</f>
        <v/>
      </c>
      <c r="B23" s="43" t="str">
        <f>IF(Tool!F19&lt;&gt;"",IF(Tool!F19&lt;&gt;0,Tool!F19,""))</f>
        <v/>
      </c>
      <c r="C23" s="43" t="str">
        <f>IF(Tool!E19&lt;&gt;"",IF(Tool!E19&lt;&gt;0,Tool!E19,""))</f>
        <v/>
      </c>
      <c r="D23" s="42" t="str">
        <f>IF(A23&lt;&gt;"",Tool!AE19,"")</f>
        <v/>
      </c>
      <c r="E23" s="26" t="str">
        <f>IF(A23&lt;&gt;"",Tool!AC19,"")</f>
        <v/>
      </c>
      <c r="F23" s="17" t="str">
        <f t="shared" si="0"/>
        <v/>
      </c>
    </row>
    <row r="24" spans="1:6" x14ac:dyDescent="0.25">
      <c r="A24" s="20" t="str">
        <f>IF(Tool!D20&lt;&gt;"",IF(Tool!F20&lt;&gt;0,Tool!D20,""),"")</f>
        <v/>
      </c>
      <c r="B24" s="43" t="str">
        <f>IF(Tool!F20&lt;&gt;"",IF(Tool!F20&lt;&gt;0,Tool!F20,""))</f>
        <v/>
      </c>
      <c r="C24" s="43" t="str">
        <f>IF(Tool!E20&lt;&gt;"",IF(Tool!E20&lt;&gt;0,Tool!E20,""))</f>
        <v/>
      </c>
      <c r="D24" s="42" t="str">
        <f>IF(A24&lt;&gt;"",Tool!AE20,"")</f>
        <v/>
      </c>
      <c r="E24" s="26" t="str">
        <f>IF(A24&lt;&gt;"",Tool!AC20,"")</f>
        <v/>
      </c>
      <c r="F24" s="17" t="str">
        <f t="shared" si="0"/>
        <v/>
      </c>
    </row>
    <row r="25" spans="1:6" x14ac:dyDescent="0.25">
      <c r="A25" s="20" t="str">
        <f>IF(Tool!D21&lt;&gt;"",IF(Tool!F21&lt;&gt;0,Tool!D21,""),"")</f>
        <v/>
      </c>
      <c r="B25" s="43" t="str">
        <f>IF(Tool!F21&lt;&gt;"",IF(Tool!F21&lt;&gt;0,Tool!F21,""))</f>
        <v/>
      </c>
      <c r="C25" s="43" t="str">
        <f>IF(Tool!E21&lt;&gt;"",IF(Tool!E21&lt;&gt;0,Tool!E21,""))</f>
        <v/>
      </c>
      <c r="D25" s="42" t="str">
        <f>IF(A25&lt;&gt;"",Tool!AE21,"")</f>
        <v/>
      </c>
      <c r="E25" s="26" t="str">
        <f>IF(A25&lt;&gt;"",Tool!AC21,"")</f>
        <v/>
      </c>
      <c r="F25" s="17" t="str">
        <f t="shared" si="0"/>
        <v/>
      </c>
    </row>
    <row r="26" spans="1:6" x14ac:dyDescent="0.25">
      <c r="A26" s="20" t="str">
        <f>IF(Tool!D22&lt;&gt;"",IF(Tool!F22&lt;&gt;0,Tool!D22,""),"")</f>
        <v/>
      </c>
      <c r="B26" s="43" t="str">
        <f>IF(Tool!F22&lt;&gt;"",IF(Tool!F22&lt;&gt;0,Tool!F22,""))</f>
        <v/>
      </c>
      <c r="C26" s="43" t="str">
        <f>IF(Tool!E22&lt;&gt;"",IF(Tool!E22&lt;&gt;0,Tool!E22,""))</f>
        <v/>
      </c>
      <c r="D26" s="42" t="str">
        <f>IF(A26&lt;&gt;"",Tool!AE22,"")</f>
        <v/>
      </c>
      <c r="E26" s="26" t="str">
        <f>IF(A26&lt;&gt;"",Tool!AC22,"")</f>
        <v/>
      </c>
      <c r="F26" s="17" t="str">
        <f t="shared" si="0"/>
        <v/>
      </c>
    </row>
    <row r="27" spans="1:6" x14ac:dyDescent="0.25">
      <c r="A27" s="20" t="str">
        <f>IF(Tool!D23&lt;&gt;"",IF(Tool!F23&lt;&gt;0,Tool!D23,""),"")</f>
        <v/>
      </c>
      <c r="B27" s="43" t="str">
        <f>IF(Tool!F23&lt;&gt;"",IF(Tool!F23&lt;&gt;0,Tool!F23,""))</f>
        <v/>
      </c>
      <c r="C27" s="43" t="str">
        <f>IF(Tool!E23&lt;&gt;"",IF(Tool!E23&lt;&gt;0,Tool!E23,""))</f>
        <v/>
      </c>
      <c r="D27" s="42" t="str">
        <f>IF(A27&lt;&gt;"",Tool!AE23,"")</f>
        <v/>
      </c>
      <c r="E27" s="26" t="str">
        <f>IF(A27&lt;&gt;"",Tool!AC23,"")</f>
        <v/>
      </c>
      <c r="F27" s="17" t="str">
        <f t="shared" si="0"/>
        <v/>
      </c>
    </row>
    <row r="28" spans="1:6" x14ac:dyDescent="0.25">
      <c r="A28" s="20" t="str">
        <f>IF(Tool!D24&lt;&gt;"",IF(Tool!F24&lt;&gt;0,Tool!D24,""),"")</f>
        <v/>
      </c>
      <c r="B28" s="43" t="str">
        <f>IF(Tool!F24&lt;&gt;"",IF(Tool!F24&lt;&gt;0,Tool!F24,""))</f>
        <v/>
      </c>
      <c r="C28" s="43" t="str">
        <f>IF(Tool!E24&lt;&gt;"",IF(Tool!E24&lt;&gt;0,Tool!E24,""))</f>
        <v/>
      </c>
      <c r="D28" s="42" t="str">
        <f>IF(A28&lt;&gt;"",Tool!AE24,"")</f>
        <v/>
      </c>
      <c r="E28" s="26" t="str">
        <f>IF(A28&lt;&gt;"",Tool!AC24,"")</f>
        <v/>
      </c>
      <c r="F28" s="17" t="str">
        <f t="shared" si="0"/>
        <v/>
      </c>
    </row>
    <row r="29" spans="1:6" x14ac:dyDescent="0.25">
      <c r="A29" s="20" t="str">
        <f>IF(Tool!D25&lt;&gt;"",IF(Tool!F25&lt;&gt;0,Tool!D25,""),"")</f>
        <v/>
      </c>
      <c r="B29" s="43" t="str">
        <f>IF(Tool!F25&lt;&gt;"",IF(Tool!F25&lt;&gt;0,Tool!F25,""))</f>
        <v/>
      </c>
      <c r="C29" s="43" t="str">
        <f>IF(Tool!E25&lt;&gt;"",IF(Tool!E25&lt;&gt;0,Tool!E25,""))</f>
        <v/>
      </c>
      <c r="D29" s="42" t="str">
        <f>IF(A29&lt;&gt;"",Tool!AE25,"")</f>
        <v/>
      </c>
      <c r="E29" s="26" t="str">
        <f>IF(A29&lt;&gt;"",Tool!AC25,"")</f>
        <v/>
      </c>
      <c r="F29" s="17" t="str">
        <f t="shared" si="0"/>
        <v/>
      </c>
    </row>
    <row r="30" spans="1:6" ht="3.75" customHeight="1" x14ac:dyDescent="0.25">
      <c r="E30" s="41"/>
    </row>
    <row r="31" spans="1:6" x14ac:dyDescent="0.25">
      <c r="A31" s="27" t="s">
        <v>348</v>
      </c>
      <c r="B31" s="28">
        <f>12-COUNTBLANK(A18:A29)</f>
        <v>0</v>
      </c>
      <c r="C31" s="17"/>
      <c r="D31" s="17"/>
    </row>
    <row r="32" spans="1:6" x14ac:dyDescent="0.25">
      <c r="A32" s="27" t="s">
        <v>285</v>
      </c>
      <c r="B32" s="44">
        <f>Tool!AD29</f>
        <v>0</v>
      </c>
      <c r="C32" s="17" t="str">
        <f>IF(B32&lt;&gt;"","/Tonne","")</f>
        <v>/Tonne</v>
      </c>
      <c r="D32" s="17"/>
    </row>
    <row r="33" spans="1:6" ht="3" customHeight="1" x14ac:dyDescent="0.25"/>
    <row r="34" spans="1:6" ht="15.75" x14ac:dyDescent="0.25">
      <c r="A34" s="19" t="s">
        <v>286</v>
      </c>
    </row>
    <row r="35" spans="1:6" ht="5.25" customHeight="1" x14ac:dyDescent="0.25"/>
    <row r="36" spans="1:6" ht="16.5" customHeight="1" x14ac:dyDescent="0.25">
      <c r="B36" s="35" t="s">
        <v>60</v>
      </c>
      <c r="C36" s="29"/>
      <c r="D36" s="29"/>
      <c r="E36" s="34" t="s">
        <v>36</v>
      </c>
      <c r="F36" s="34" t="s">
        <v>81</v>
      </c>
    </row>
    <row r="37" spans="1:6" x14ac:dyDescent="0.25">
      <c r="A37" s="17" t="s">
        <v>327</v>
      </c>
      <c r="B37" s="30">
        <f>Tool!G27</f>
        <v>0</v>
      </c>
      <c r="C37" s="17" t="s">
        <v>287</v>
      </c>
      <c r="D37" s="17"/>
      <c r="E37" s="38">
        <f>Tool!G30</f>
        <v>12.953212459321247</v>
      </c>
      <c r="F37" s="37">
        <f>Tool!G31</f>
        <v>0</v>
      </c>
    </row>
    <row r="38" spans="1:6" x14ac:dyDescent="0.25">
      <c r="A38" s="17" t="s">
        <v>328</v>
      </c>
      <c r="B38" s="30">
        <f>Tool!H27</f>
        <v>0</v>
      </c>
      <c r="C38" s="17" t="s">
        <v>18</v>
      </c>
      <c r="D38" s="17"/>
      <c r="E38" s="38">
        <f>Tool!H30</f>
        <v>17.11249122807018</v>
      </c>
      <c r="F38" s="38">
        <f>Tool!H31</f>
        <v>0</v>
      </c>
    </row>
    <row r="39" spans="1:6" x14ac:dyDescent="0.25">
      <c r="A39" s="17" t="s">
        <v>65</v>
      </c>
      <c r="B39" s="30">
        <f>Tool!I27</f>
        <v>0</v>
      </c>
      <c r="C39" s="17" t="s">
        <v>18</v>
      </c>
      <c r="D39" s="17"/>
      <c r="E39" s="38">
        <f>Tool!I30</f>
        <v>4.5600162206001622</v>
      </c>
      <c r="F39" s="38">
        <f>Tool!I31</f>
        <v>0</v>
      </c>
    </row>
    <row r="40" spans="1:6" x14ac:dyDescent="0.25">
      <c r="A40" s="17" t="s">
        <v>329</v>
      </c>
      <c r="B40" s="30">
        <f>Tool!J27</f>
        <v>0</v>
      </c>
      <c r="C40" s="17" t="s">
        <v>18</v>
      </c>
      <c r="D40" s="17"/>
      <c r="E40" s="38">
        <f>Tool!J30</f>
        <v>3.5000000000000009</v>
      </c>
      <c r="F40" s="38">
        <f>Tool!J31</f>
        <v>0</v>
      </c>
    </row>
    <row r="41" spans="1:6" x14ac:dyDescent="0.25">
      <c r="A41" s="17" t="s">
        <v>330</v>
      </c>
      <c r="B41" s="30">
        <f>Tool!K27</f>
        <v>0</v>
      </c>
      <c r="C41" s="17" t="s">
        <v>18</v>
      </c>
      <c r="D41" s="17"/>
      <c r="E41" s="38">
        <f>Tool!K30</f>
        <v>0.62900062900062903</v>
      </c>
      <c r="F41" s="38">
        <f>Tool!K31</f>
        <v>0</v>
      </c>
    </row>
    <row r="42" spans="1:6" x14ac:dyDescent="0.25">
      <c r="A42" s="17" t="s">
        <v>331</v>
      </c>
      <c r="B42" s="30">
        <f>Tool!L27</f>
        <v>0</v>
      </c>
      <c r="C42" s="17" t="s">
        <v>18</v>
      </c>
      <c r="D42" s="17"/>
      <c r="E42" s="38">
        <f>Tool!L30</f>
        <v>0.77777777777777768</v>
      </c>
      <c r="F42" s="38">
        <f>Tool!L31</f>
        <v>0</v>
      </c>
    </row>
    <row r="43" spans="1:6" x14ac:dyDescent="0.25">
      <c r="A43" s="17" t="s">
        <v>332</v>
      </c>
      <c r="B43" s="30">
        <f>Tool!M27</f>
        <v>0</v>
      </c>
      <c r="C43" s="17" t="s">
        <v>18</v>
      </c>
      <c r="D43" s="17"/>
      <c r="E43" s="38">
        <f>Tool!M30</f>
        <v>0.62283333333333346</v>
      </c>
      <c r="F43" s="38">
        <f>Tool!M31</f>
        <v>0</v>
      </c>
    </row>
    <row r="44" spans="1:6" x14ac:dyDescent="0.25">
      <c r="A44" s="17" t="s">
        <v>333</v>
      </c>
      <c r="B44" s="30">
        <f>Tool!N27</f>
        <v>0</v>
      </c>
      <c r="C44" s="17" t="s">
        <v>18</v>
      </c>
      <c r="D44" s="17"/>
      <c r="E44" s="38">
        <f>Tool!N30</f>
        <v>0.26666666666666672</v>
      </c>
      <c r="F44" s="38">
        <f>Tool!N31</f>
        <v>0</v>
      </c>
    </row>
    <row r="45" spans="1:6" x14ac:dyDescent="0.25">
      <c r="A45" s="17" t="s">
        <v>334</v>
      </c>
      <c r="B45" s="30">
        <f>Tool!O27</f>
        <v>0</v>
      </c>
      <c r="C45" s="17" t="s">
        <v>18</v>
      </c>
      <c r="D45" s="17"/>
      <c r="E45" s="38">
        <f>Tool!O30</f>
        <v>0.33333333333333331</v>
      </c>
      <c r="F45" s="38">
        <f>Tool!O31</f>
        <v>0</v>
      </c>
    </row>
    <row r="46" spans="1:6" x14ac:dyDescent="0.25">
      <c r="A46" s="17" t="s">
        <v>335</v>
      </c>
      <c r="B46" s="30">
        <f>Tool!P27</f>
        <v>0</v>
      </c>
      <c r="C46" s="17" t="s">
        <v>18</v>
      </c>
      <c r="D46" s="17"/>
      <c r="E46" s="38">
        <f>Tool!P30</f>
        <v>0.29600029600029604</v>
      </c>
      <c r="F46" s="38">
        <f>Tool!P31</f>
        <v>0</v>
      </c>
    </row>
    <row r="47" spans="1:6" x14ac:dyDescent="0.25">
      <c r="A47" s="17" t="s">
        <v>336</v>
      </c>
      <c r="B47" s="30">
        <f>Tool!Q27</f>
        <v>0</v>
      </c>
      <c r="C47" s="17" t="s">
        <v>18</v>
      </c>
      <c r="D47" s="17"/>
      <c r="E47" s="38">
        <f>Tool!Q30</f>
        <v>0.3429444444444445</v>
      </c>
      <c r="F47" s="38">
        <f>Tool!Q31</f>
        <v>0</v>
      </c>
    </row>
    <row r="48" spans="1:6" x14ac:dyDescent="0.25">
      <c r="A48" s="17" t="s">
        <v>337</v>
      </c>
      <c r="B48" s="30">
        <f>Tool!R27</f>
        <v>0</v>
      </c>
      <c r="C48" s="17" t="s">
        <v>18</v>
      </c>
      <c r="D48" s="17"/>
      <c r="E48" s="38">
        <f>Tool!R30</f>
        <v>0.48627777777777786</v>
      </c>
      <c r="F48" s="38">
        <f>Tool!R31</f>
        <v>0</v>
      </c>
    </row>
    <row r="49" spans="1:6" x14ac:dyDescent="0.25">
      <c r="A49" s="17" t="s">
        <v>338</v>
      </c>
      <c r="B49" s="30">
        <f>Tool!S27</f>
        <v>0</v>
      </c>
      <c r="C49" s="17" t="s">
        <v>18</v>
      </c>
      <c r="D49" s="17"/>
      <c r="E49" s="38">
        <f>Tool!S30</f>
        <v>0.3429444444444445</v>
      </c>
      <c r="F49" s="38">
        <f>Tool!S31</f>
        <v>0</v>
      </c>
    </row>
    <row r="50" spans="1:6" x14ac:dyDescent="0.25">
      <c r="A50" s="17" t="s">
        <v>339</v>
      </c>
      <c r="B50" s="30">
        <f>Tool!T27</f>
        <v>0</v>
      </c>
      <c r="C50" s="17" t="s">
        <v>18</v>
      </c>
      <c r="D50" s="17"/>
      <c r="E50" s="38">
        <f>Tool!T30</f>
        <v>0.18333333333333332</v>
      </c>
      <c r="F50" s="38">
        <f>Tool!T31</f>
        <v>0</v>
      </c>
    </row>
    <row r="51" spans="1:6" x14ac:dyDescent="0.25">
      <c r="A51" s="17" t="s">
        <v>288</v>
      </c>
      <c r="B51" s="30">
        <f>Tool!U27</f>
        <v>0</v>
      </c>
      <c r="C51" s="17" t="s">
        <v>289</v>
      </c>
      <c r="D51" s="17"/>
      <c r="E51" s="38">
        <f>Tool!U30</f>
        <v>0.86333419666752997</v>
      </c>
      <c r="F51" s="38">
        <f>Tool!U31</f>
        <v>0</v>
      </c>
    </row>
    <row r="52" spans="1:6" x14ac:dyDescent="0.25">
      <c r="A52" s="17" t="s">
        <v>340</v>
      </c>
      <c r="B52" s="30">
        <f>Tool!V27</f>
        <v>0</v>
      </c>
      <c r="C52" s="17" t="s">
        <v>289</v>
      </c>
      <c r="D52" s="17"/>
      <c r="E52" s="38">
        <f>Tool!V30</f>
        <v>0.40700040700040702</v>
      </c>
      <c r="F52" s="38">
        <f>Tool!V31</f>
        <v>0.40700040700040702</v>
      </c>
    </row>
    <row r="53" spans="1:6" x14ac:dyDescent="0.25">
      <c r="A53" s="17" t="s">
        <v>290</v>
      </c>
      <c r="B53" s="30">
        <f>Tool!W27</f>
        <v>0</v>
      </c>
      <c r="C53" s="17" t="s">
        <v>289</v>
      </c>
      <c r="D53" s="17"/>
      <c r="E53" s="38">
        <f>Tool!W30</f>
        <v>0.70300070300070316</v>
      </c>
      <c r="F53" s="38">
        <f>Tool!W31</f>
        <v>0</v>
      </c>
    </row>
    <row r="54" spans="1:6" x14ac:dyDescent="0.25">
      <c r="F54" s="36"/>
    </row>
  </sheetData>
  <sheetProtection algorithmName="SHA-512" hashValue="hqCJRfke6uOcEv0CZSBj7bydaQSsri056PBID1TkPWC576DkCVK+8jHXELucMnhyISlTnNca8P+85txsttH3vA==" saltValue="UCIip1dCHLPrV1S11HmY4w==" spinCount="100000" sheet="1" objects="1" scenarios="1"/>
  <pageMargins left="0.7" right="0.7" top="0.75" bottom="0.75" header="0.3" footer="0.3"/>
  <pageSetup paperSize="9" orientation="portrait" cellComments="atEn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I14"/>
  <sheetViews>
    <sheetView zoomScale="87" zoomScaleNormal="87" workbookViewId="0">
      <selection activeCell="E18" sqref="E18"/>
    </sheetView>
  </sheetViews>
  <sheetFormatPr baseColWidth="10" defaultColWidth="9.140625" defaultRowHeight="15" x14ac:dyDescent="0.25"/>
  <cols>
    <col min="1" max="1" width="30.28515625" customWidth="1"/>
    <col min="2" max="2" width="17" style="8" bestFit="1" customWidth="1"/>
    <col min="3" max="3" width="27.140625" style="8" customWidth="1"/>
    <col min="4" max="4" width="17" style="8" bestFit="1" customWidth="1"/>
    <col min="5" max="5" width="26.7109375" style="6" customWidth="1"/>
    <col min="6" max="6" width="19.7109375" style="8" bestFit="1" customWidth="1"/>
    <col min="7" max="7" width="28.42578125" style="6" customWidth="1"/>
    <col min="8" max="8" width="17" style="8" bestFit="1" customWidth="1"/>
  </cols>
  <sheetData>
    <row r="1" spans="1:9" s="16" customFormat="1" ht="51" customHeight="1" x14ac:dyDescent="0.25">
      <c r="A1" s="45" t="s">
        <v>291</v>
      </c>
      <c r="B1" s="51" t="s">
        <v>292</v>
      </c>
      <c r="C1" s="45" t="s">
        <v>293</v>
      </c>
      <c r="D1" s="51" t="s">
        <v>294</v>
      </c>
      <c r="E1" s="45" t="s">
        <v>295</v>
      </c>
      <c r="F1" s="50" t="s">
        <v>296</v>
      </c>
      <c r="G1" s="45" t="s">
        <v>297</v>
      </c>
      <c r="H1" s="50" t="s">
        <v>298</v>
      </c>
      <c r="I1" s="15"/>
    </row>
    <row r="2" spans="1:9" ht="12" customHeight="1" x14ac:dyDescent="0.25">
      <c r="A2" s="47" t="e">
        <f>IF(B2&lt;&gt;0,Tool!D14,"")</f>
        <v>#DIV/0!</v>
      </c>
      <c r="B2" s="40" t="e">
        <f>Tool!G14*Tool!F14/Tool!$G$27</f>
        <v>#DIV/0!</v>
      </c>
      <c r="C2" s="47" t="e">
        <f>IF(D2&lt;&gt;0,Tool!D14,"")</f>
        <v>#DIV/0!</v>
      </c>
      <c r="D2" s="40" t="e">
        <f>Tool!H14*Tool!F14/Tool!$H$27</f>
        <v>#DIV/0!</v>
      </c>
      <c r="E2" s="48" t="e">
        <f>IF(F2&lt;&gt;0,Tool!D14,"")</f>
        <v>#DIV/0!</v>
      </c>
      <c r="F2" s="40" t="e">
        <f>Tool!K14*Tool!F14/Tool!$K$27</f>
        <v>#DIV/0!</v>
      </c>
      <c r="G2" s="48" t="e">
        <f>IF(H2&lt;&gt;0,Tool!D14,"")</f>
        <v>#DIV/0!</v>
      </c>
      <c r="H2" s="40" t="e">
        <f>Tool!L14*Tool!F14/Tool!$L$27</f>
        <v>#DIV/0!</v>
      </c>
      <c r="I2" s="2"/>
    </row>
    <row r="3" spans="1:9" ht="12" customHeight="1" x14ac:dyDescent="0.25">
      <c r="A3" s="47" t="e">
        <f>IF(B3&lt;&gt;0,Tool!D15,"")</f>
        <v>#DIV/0!</v>
      </c>
      <c r="B3" s="40" t="e">
        <f>Tool!G15*Tool!F15/Tool!$G$27</f>
        <v>#DIV/0!</v>
      </c>
      <c r="C3" s="47" t="e">
        <f>IF(D3&lt;&gt;0,Tool!D15,"")</f>
        <v>#DIV/0!</v>
      </c>
      <c r="D3" s="40" t="e">
        <f>Tool!H15*Tool!F15/Tool!$H$27</f>
        <v>#DIV/0!</v>
      </c>
      <c r="E3" s="48" t="e">
        <f>IF(F3&lt;&gt;0,Tool!D15,"")</f>
        <v>#DIV/0!</v>
      </c>
      <c r="F3" s="40" t="e">
        <f>Tool!K15*Tool!F15/Tool!$K$27</f>
        <v>#DIV/0!</v>
      </c>
      <c r="G3" s="48" t="e">
        <f>IF(H3&lt;&gt;0,Tool!D15,"")</f>
        <v>#DIV/0!</v>
      </c>
      <c r="H3" s="40" t="e">
        <f>Tool!L15*Tool!F15/Tool!$L$27</f>
        <v>#DIV/0!</v>
      </c>
      <c r="I3" s="2"/>
    </row>
    <row r="4" spans="1:9" ht="12" customHeight="1" x14ac:dyDescent="0.25">
      <c r="A4" s="47" t="e">
        <f>IF(B4&lt;&gt;0,Tool!D16,"")</f>
        <v>#DIV/0!</v>
      </c>
      <c r="B4" s="40" t="e">
        <f>Tool!G16*Tool!F16/Tool!$G$27</f>
        <v>#DIV/0!</v>
      </c>
      <c r="C4" s="47" t="e">
        <f>IF(D4&lt;&gt;0,Tool!D16,"")</f>
        <v>#DIV/0!</v>
      </c>
      <c r="D4" s="40" t="e">
        <f>Tool!H16*Tool!F16/Tool!$H$27</f>
        <v>#DIV/0!</v>
      </c>
      <c r="E4" s="48" t="e">
        <f>IF(F4&lt;&gt;0,Tool!D16,"")</f>
        <v>#DIV/0!</v>
      </c>
      <c r="F4" s="40" t="e">
        <f>Tool!K16*Tool!F16/Tool!$K$27</f>
        <v>#DIV/0!</v>
      </c>
      <c r="G4" s="48" t="e">
        <f>IF(H4&lt;&gt;0,Tool!D16,"")</f>
        <v>#DIV/0!</v>
      </c>
      <c r="H4" s="40" t="e">
        <f>Tool!L16*Tool!F16/Tool!$L$27</f>
        <v>#DIV/0!</v>
      </c>
      <c r="I4" s="2"/>
    </row>
    <row r="5" spans="1:9" ht="12" customHeight="1" x14ac:dyDescent="0.25">
      <c r="A5" s="47" t="e">
        <f>IF(B5&lt;&gt;0,Tool!D17,"")</f>
        <v>#DIV/0!</v>
      </c>
      <c r="B5" s="40" t="e">
        <f>Tool!G17*Tool!F17/Tool!$G$27</f>
        <v>#DIV/0!</v>
      </c>
      <c r="C5" s="47" t="e">
        <f>IF(D5&lt;&gt;0,Tool!D17,"")</f>
        <v>#DIV/0!</v>
      </c>
      <c r="D5" s="40" t="e">
        <f>Tool!H17*Tool!F17/Tool!$H$27</f>
        <v>#DIV/0!</v>
      </c>
      <c r="E5" s="48" t="e">
        <f>IF(F5&lt;&gt;0,Tool!D17,"")</f>
        <v>#DIV/0!</v>
      </c>
      <c r="F5" s="40" t="e">
        <f>Tool!K17*Tool!F17/Tool!$K$27</f>
        <v>#DIV/0!</v>
      </c>
      <c r="G5" s="48" t="e">
        <f>IF(H5&lt;&gt;0,Tool!D17,"")</f>
        <v>#DIV/0!</v>
      </c>
      <c r="H5" s="40" t="e">
        <f>Tool!L17*Tool!F17/Tool!$L$27</f>
        <v>#DIV/0!</v>
      </c>
      <c r="I5" s="2"/>
    </row>
    <row r="6" spans="1:9" ht="12" customHeight="1" x14ac:dyDescent="0.25">
      <c r="A6" s="47" t="e">
        <f>IF(B6&lt;&gt;0,Tool!D18,"")</f>
        <v>#DIV/0!</v>
      </c>
      <c r="B6" s="40" t="e">
        <f>Tool!G18*Tool!F18/Tool!$G$27</f>
        <v>#DIV/0!</v>
      </c>
      <c r="C6" s="47" t="e">
        <f>IF(D6&lt;&gt;0,Tool!D18,"")</f>
        <v>#DIV/0!</v>
      </c>
      <c r="D6" s="40" t="e">
        <f>Tool!H18*Tool!F18/Tool!$H$27</f>
        <v>#DIV/0!</v>
      </c>
      <c r="E6" s="48" t="e">
        <f>IF(F6&lt;&gt;0,Tool!D18,"")</f>
        <v>#DIV/0!</v>
      </c>
      <c r="F6" s="40" t="e">
        <f>Tool!K18*Tool!F18/Tool!$K$27</f>
        <v>#DIV/0!</v>
      </c>
      <c r="G6" s="48" t="e">
        <f>IF(H6&lt;&gt;0,Tool!D18,"")</f>
        <v>#DIV/0!</v>
      </c>
      <c r="H6" s="40" t="e">
        <f>Tool!L18*Tool!F18/Tool!$L$27</f>
        <v>#DIV/0!</v>
      </c>
      <c r="I6" s="2"/>
    </row>
    <row r="7" spans="1:9" ht="12" customHeight="1" x14ac:dyDescent="0.25">
      <c r="A7" s="47" t="e">
        <f>IF(B7&lt;&gt;0,Tool!D19,"")</f>
        <v>#DIV/0!</v>
      </c>
      <c r="B7" s="40" t="e">
        <f>Tool!G19*Tool!F19/Tool!$G$27</f>
        <v>#DIV/0!</v>
      </c>
      <c r="C7" s="47" t="e">
        <f>IF(D7&lt;&gt;0,Tool!D19,"")</f>
        <v>#DIV/0!</v>
      </c>
      <c r="D7" s="40" t="e">
        <f>Tool!H19*Tool!F19/Tool!$H$27</f>
        <v>#DIV/0!</v>
      </c>
      <c r="E7" s="48" t="e">
        <f>IF(F7&lt;&gt;0,Tool!D19,"")</f>
        <v>#DIV/0!</v>
      </c>
      <c r="F7" s="40" t="e">
        <f>Tool!K19*Tool!F19/Tool!$K$27</f>
        <v>#DIV/0!</v>
      </c>
      <c r="G7" s="48" t="e">
        <f>IF(H7&lt;&gt;0,Tool!D19,"")</f>
        <v>#DIV/0!</v>
      </c>
      <c r="H7" s="40" t="e">
        <f>Tool!L19*Tool!F19/Tool!$L$27</f>
        <v>#DIV/0!</v>
      </c>
      <c r="I7" s="2"/>
    </row>
    <row r="8" spans="1:9" ht="12" customHeight="1" x14ac:dyDescent="0.25">
      <c r="A8" s="47" t="e">
        <f>IF(B8&lt;&gt;0,Tool!D20,"")</f>
        <v>#DIV/0!</v>
      </c>
      <c r="B8" s="40" t="e">
        <f>Tool!G20*Tool!F20/Tool!$G$27</f>
        <v>#DIV/0!</v>
      </c>
      <c r="C8" s="47" t="e">
        <f>IF(D8&lt;&gt;0,Tool!D20,"")</f>
        <v>#DIV/0!</v>
      </c>
      <c r="D8" s="40" t="e">
        <f>Tool!H20*Tool!F20/Tool!$H$27</f>
        <v>#DIV/0!</v>
      </c>
      <c r="E8" s="48" t="e">
        <f>IF(F8&lt;&gt;0,Tool!D20,"")</f>
        <v>#DIV/0!</v>
      </c>
      <c r="F8" s="40" t="e">
        <f>Tool!K20*Tool!F20/Tool!$K$27</f>
        <v>#DIV/0!</v>
      </c>
      <c r="G8" s="48" t="e">
        <f>IF(H8&lt;&gt;0,Tool!D20,"")</f>
        <v>#DIV/0!</v>
      </c>
      <c r="H8" s="40" t="e">
        <f>Tool!L20*Tool!F20/Tool!$L$27</f>
        <v>#DIV/0!</v>
      </c>
      <c r="I8" s="2"/>
    </row>
    <row r="9" spans="1:9" ht="12" customHeight="1" x14ac:dyDescent="0.25">
      <c r="A9" s="47" t="e">
        <f>IF(B9&lt;&gt;0,Tool!D21,"")</f>
        <v>#DIV/0!</v>
      </c>
      <c r="B9" s="40" t="e">
        <f>Tool!G21*Tool!F21/Tool!$G$27</f>
        <v>#DIV/0!</v>
      </c>
      <c r="C9" s="47" t="e">
        <f>IF(D9&lt;&gt;0,Tool!D21,"")</f>
        <v>#DIV/0!</v>
      </c>
      <c r="D9" s="40" t="e">
        <f>Tool!H21*Tool!F21/Tool!$H$27</f>
        <v>#DIV/0!</v>
      </c>
      <c r="E9" s="48" t="e">
        <f>IF(F9&lt;&gt;0,Tool!D21,"")</f>
        <v>#DIV/0!</v>
      </c>
      <c r="F9" s="40" t="e">
        <f>Tool!K21*Tool!F21/Tool!$K$27</f>
        <v>#DIV/0!</v>
      </c>
      <c r="G9" s="48" t="e">
        <f>IF(H9&lt;&gt;0,Tool!D21,"")</f>
        <v>#DIV/0!</v>
      </c>
      <c r="H9" s="40" t="e">
        <f>Tool!L21*Tool!F21/Tool!$L$27</f>
        <v>#DIV/0!</v>
      </c>
      <c r="I9" s="2"/>
    </row>
    <row r="10" spans="1:9" ht="12" customHeight="1" x14ac:dyDescent="0.25">
      <c r="A10" s="47" t="e">
        <f>IF(B10&lt;&gt;0,Tool!D22,"")</f>
        <v>#DIV/0!</v>
      </c>
      <c r="B10" s="40" t="e">
        <f>Tool!G22*Tool!F22/Tool!$G$27</f>
        <v>#DIV/0!</v>
      </c>
      <c r="C10" s="47" t="e">
        <f>IF(D10&lt;&gt;0,Tool!D22,"")</f>
        <v>#DIV/0!</v>
      </c>
      <c r="D10" s="40" t="e">
        <f>Tool!H22*Tool!F22/Tool!$H$27</f>
        <v>#DIV/0!</v>
      </c>
      <c r="E10" s="48" t="e">
        <f>IF(F10&lt;&gt;0,Tool!D22,"")</f>
        <v>#DIV/0!</v>
      </c>
      <c r="F10" s="40" t="e">
        <f>Tool!K22*Tool!F22/Tool!$K$27</f>
        <v>#DIV/0!</v>
      </c>
      <c r="G10" s="48" t="e">
        <f>IF(H10&lt;&gt;0,Tool!D22,"")</f>
        <v>#DIV/0!</v>
      </c>
      <c r="H10" s="40" t="e">
        <f>Tool!L22*Tool!F22/Tool!$L$27</f>
        <v>#DIV/0!</v>
      </c>
      <c r="I10" s="2"/>
    </row>
    <row r="11" spans="1:9" ht="12" customHeight="1" x14ac:dyDescent="0.25">
      <c r="A11" s="47" t="e">
        <f>IF(B11&lt;&gt;0,Tool!D23,"")</f>
        <v>#DIV/0!</v>
      </c>
      <c r="B11" s="40" t="e">
        <f>Tool!G23*Tool!F23/Tool!$G$27</f>
        <v>#DIV/0!</v>
      </c>
      <c r="C11" s="47" t="e">
        <f>IF(D11&lt;&gt;0,Tool!D23,"")</f>
        <v>#DIV/0!</v>
      </c>
      <c r="D11" s="40" t="e">
        <f>Tool!H23*Tool!F23/Tool!$H$27</f>
        <v>#DIV/0!</v>
      </c>
      <c r="E11" s="48" t="e">
        <f>IF(F11&lt;&gt;0,Tool!D23,"")</f>
        <v>#DIV/0!</v>
      </c>
      <c r="F11" s="40" t="e">
        <f>Tool!K23*Tool!F23/Tool!$K$27</f>
        <v>#DIV/0!</v>
      </c>
      <c r="G11" s="48" t="e">
        <f>IF(H11&lt;&gt;0,Tool!D23,"")</f>
        <v>#DIV/0!</v>
      </c>
      <c r="H11" s="40" t="e">
        <f>Tool!L23*Tool!F23/Tool!$L$27</f>
        <v>#DIV/0!</v>
      </c>
      <c r="I11" s="2"/>
    </row>
    <row r="12" spans="1:9" ht="12" customHeight="1" x14ac:dyDescent="0.25">
      <c r="A12" s="47" t="e">
        <f>IF(B12&lt;&gt;0,Tool!D24,"")</f>
        <v>#DIV/0!</v>
      </c>
      <c r="B12" s="40" t="e">
        <f>Tool!G24*Tool!F24/Tool!$G$27</f>
        <v>#DIV/0!</v>
      </c>
      <c r="C12" s="47" t="e">
        <f>IF(D12&lt;&gt;0,Tool!D24,"")</f>
        <v>#DIV/0!</v>
      </c>
      <c r="D12" s="40" t="e">
        <f>Tool!H24*Tool!F24/Tool!$H$27</f>
        <v>#DIV/0!</v>
      </c>
      <c r="E12" s="48" t="e">
        <f>IF(F12&lt;&gt;0,Tool!D24,"")</f>
        <v>#DIV/0!</v>
      </c>
      <c r="F12" s="40" t="e">
        <f>Tool!K24*Tool!F24/Tool!$K$27</f>
        <v>#DIV/0!</v>
      </c>
      <c r="G12" s="48" t="e">
        <f>IF(H12&lt;&gt;0,Tool!D24,"")</f>
        <v>#DIV/0!</v>
      </c>
      <c r="H12" s="40" t="e">
        <f>Tool!L24*Tool!F24/Tool!$L$27</f>
        <v>#DIV/0!</v>
      </c>
    </row>
    <row r="13" spans="1:9" ht="12" customHeight="1" x14ac:dyDescent="0.25">
      <c r="A13" s="47" t="e">
        <f>IF(B13&lt;&gt;0,Tool!D25,"")</f>
        <v>#DIV/0!</v>
      </c>
      <c r="B13" s="40" t="e">
        <f>Tool!G25*Tool!F25/Tool!$G$27</f>
        <v>#DIV/0!</v>
      </c>
      <c r="C13" s="47" t="e">
        <f>IF(D13&lt;&gt;0,Tool!D25,"")</f>
        <v>#DIV/0!</v>
      </c>
      <c r="D13" s="40" t="e">
        <f>Tool!H25*Tool!F25/Tool!$H$27</f>
        <v>#DIV/0!</v>
      </c>
      <c r="E13" s="48" t="e">
        <f>IF(F13&lt;&gt;0,Tool!D25,"")</f>
        <v>#DIV/0!</v>
      </c>
      <c r="F13" s="40" t="e">
        <f>Tool!K25*Tool!F25/Tool!$K$27</f>
        <v>#DIV/0!</v>
      </c>
      <c r="G13" s="48" t="e">
        <f>IF(H13&lt;&gt;0,Tool!D25,"")</f>
        <v>#DIV/0!</v>
      </c>
      <c r="H13" s="40" t="e">
        <f>Tool!L25*Tool!F25/Tool!$L$27</f>
        <v>#DIV/0!</v>
      </c>
    </row>
    <row r="14" spans="1:9" ht="12" customHeight="1" x14ac:dyDescent="0.25">
      <c r="A14" s="39" t="s">
        <v>299</v>
      </c>
      <c r="B14" s="46" t="e">
        <f>SUM(B2:B13)</f>
        <v>#DIV/0!</v>
      </c>
      <c r="C14" s="46"/>
      <c r="D14" s="46" t="e">
        <f>SUM(D2:D13)</f>
        <v>#DIV/0!</v>
      </c>
      <c r="E14" s="49"/>
      <c r="F14" s="46" t="e">
        <f>SUM(F2:F13)</f>
        <v>#DIV/0!</v>
      </c>
      <c r="G14" s="49"/>
      <c r="H14" s="46" t="e">
        <f>SUM(H2:H13)</f>
        <v>#DIV/0!</v>
      </c>
    </row>
  </sheetData>
  <sheetProtection algorithmName="SHA-512" hashValue="n5j/cYLTNhbvLGctio9HZboAFUUJQUv4tp4Y8MSZZAhGVFHq0h7v7g4PHgiNLeUlCc/Jl/DWhbou3eWYxbW/kQ==" saltValue="9d/r6KQphDSPhZFqFcdFe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4"/>
  <dimension ref="A1:L100"/>
  <sheetViews>
    <sheetView zoomScale="70" zoomScaleNormal="70" workbookViewId="0">
      <selection activeCell="E22" sqref="E22"/>
    </sheetView>
  </sheetViews>
  <sheetFormatPr baseColWidth="10" defaultColWidth="11.42578125" defaultRowHeight="15" x14ac:dyDescent="0.25"/>
  <cols>
    <col min="1" max="1" width="62.7109375" customWidth="1"/>
    <col min="2" max="2" width="8.28515625" style="8" customWidth="1"/>
    <col min="3" max="3" width="10" style="8" customWidth="1"/>
    <col min="4" max="4" width="8.28515625" style="8" customWidth="1"/>
    <col min="5" max="5" width="60" customWidth="1"/>
    <col min="6" max="6" width="20.42578125" customWidth="1"/>
    <col min="7" max="7" width="11.5703125" customWidth="1"/>
    <col min="8" max="9" width="11.42578125" customWidth="1"/>
    <col min="10" max="10" width="23.5703125" style="6" customWidth="1"/>
  </cols>
  <sheetData>
    <row r="1" spans="1:12" ht="32.25" thickBot="1" x14ac:dyDescent="0.3">
      <c r="A1" s="12" t="s">
        <v>300</v>
      </c>
      <c r="B1" s="13" t="s">
        <v>301</v>
      </c>
      <c r="C1" s="13" t="s">
        <v>302</v>
      </c>
      <c r="D1" s="13" t="s">
        <v>303</v>
      </c>
      <c r="E1" s="14" t="s">
        <v>304</v>
      </c>
      <c r="F1" s="12" t="s">
        <v>305</v>
      </c>
      <c r="G1" s="13" t="s">
        <v>301</v>
      </c>
      <c r="H1" s="13" t="s">
        <v>302</v>
      </c>
      <c r="I1" s="13" t="s">
        <v>303</v>
      </c>
      <c r="J1" s="14" t="s">
        <v>306</v>
      </c>
    </row>
    <row r="2" spans="1:12" x14ac:dyDescent="0.25">
      <c r="A2" s="3" t="str">
        <f>IFERROR(Requirment[[#This Row],[Scenarios_reference]],"")</f>
        <v>Broiler_2.4 Kg alive 63 days_3</v>
      </c>
      <c r="B2" s="7">
        <f>ROW()-1</f>
        <v>1</v>
      </c>
      <c r="C2" s="7">
        <f>IF(COUNTIF($A$2:A2,A2)=1,ROW()-1,"")</f>
        <v>1</v>
      </c>
      <c r="D2" s="7">
        <f>IFERROR(SMALL(C:C,B2),"")</f>
        <v>1</v>
      </c>
      <c r="E2" s="11" t="str">
        <f>IFERROR(INDEX($A$2:$A$99,D2),"")</f>
        <v>Broiler_2.4 Kg alive 63 days_3</v>
      </c>
      <c r="F2" s="3" t="str">
        <f>IFERROR(Requirment[[#This Row],[Formula_Name]],"")</f>
        <v>Finishing</v>
      </c>
      <c r="G2" s="7">
        <f>ROW()-1</f>
        <v>1</v>
      </c>
      <c r="H2" s="7">
        <f>IF(COUNTIF($F$2:F2,F2)=1,ROW()-1,"")</f>
        <v>1</v>
      </c>
      <c r="I2" s="2">
        <f>IFERROR(SMALL(H:H,G2),"")</f>
        <v>1</v>
      </c>
      <c r="J2" s="10" t="str">
        <f>IFERROR(INDEX($F$2:$F$99,I2),"")</f>
        <v>Finishing</v>
      </c>
    </row>
    <row r="3" spans="1:12" x14ac:dyDescent="0.25">
      <c r="A3" s="3" t="str">
        <f>IFERROR(Requirment[[#This Row],[Scenarios_reference]],"")</f>
        <v>Broiler_2.4 Kg alive 63 days_3</v>
      </c>
      <c r="B3" s="7">
        <f t="shared" ref="B3:B66" si="0">ROW()-1</f>
        <v>2</v>
      </c>
      <c r="C3" s="7" t="str">
        <f>IF(COUNTIF($A$2:A3,A3)=1,ROW()-1,"")</f>
        <v/>
      </c>
      <c r="D3" s="7">
        <f t="shared" ref="D3:D66" si="1">IFERROR(SMALL(C:C,B3),"")</f>
        <v>4</v>
      </c>
      <c r="E3" s="11" t="str">
        <f t="shared" ref="E3:E66" si="2">IFERROR(INDEX($A$2:$A$99,D3),"")</f>
        <v>Broiler_2.6 kg alive at 112 days_2 feeds_3</v>
      </c>
      <c r="F3" s="3" t="str">
        <f>IFERROR(Requirment[[#This Row],[Formula_Name]],"")</f>
        <v>Growing</v>
      </c>
      <c r="G3" s="7">
        <f t="shared" ref="G3:G66" si="3">ROW()-1</f>
        <v>2</v>
      </c>
      <c r="H3" s="7">
        <f>IF(COUNTIF($F$2:F3,F3)=1,ROW()-1,"")</f>
        <v>2</v>
      </c>
      <c r="I3" s="2">
        <f t="shared" ref="I3:I66" si="4">IFERROR(SMALL(H:H,G3),"")</f>
        <v>2</v>
      </c>
      <c r="J3" s="10" t="str">
        <f t="shared" ref="J3:J66" si="5">IFERROR(INDEX($F$2:$F$99,I3),"")</f>
        <v>Growing</v>
      </c>
    </row>
    <row r="4" spans="1:12" x14ac:dyDescent="0.25">
      <c r="A4" s="3" t="str">
        <f>IFERROR(Requirment[[#This Row],[Scenarios_reference]],"")</f>
        <v>Broiler_2.4 Kg alive 63 days_3</v>
      </c>
      <c r="B4" s="7">
        <f t="shared" si="0"/>
        <v>3</v>
      </c>
      <c r="C4" s="7" t="str">
        <f>IF(COUNTIF($A$2:A4,A4)=1,ROW()-1,"")</f>
        <v/>
      </c>
      <c r="D4" s="7">
        <f t="shared" si="1"/>
        <v>7</v>
      </c>
      <c r="E4" s="11" t="str">
        <f t="shared" si="2"/>
        <v>Broiler_2.6 kg alive at 126 days_3 feeds_3</v>
      </c>
      <c r="F4" s="3" t="str">
        <f>IFERROR(Requirment[[#This Row],[Formula_Name]],"")</f>
        <v>Starter</v>
      </c>
      <c r="G4" s="7">
        <f t="shared" si="3"/>
        <v>3</v>
      </c>
      <c r="H4" s="7">
        <f>IF(COUNTIF($F$2:F4,F4)=1,ROW()-1,"")</f>
        <v>3</v>
      </c>
      <c r="I4" s="2">
        <f t="shared" si="4"/>
        <v>3</v>
      </c>
      <c r="J4" s="10" t="str">
        <f t="shared" si="5"/>
        <v>Starter</v>
      </c>
      <c r="L4" t="s">
        <v>307</v>
      </c>
    </row>
    <row r="5" spans="1:12" x14ac:dyDescent="0.25">
      <c r="A5" s="3" t="str">
        <f>IFERROR(Requirment[[#This Row],[Scenarios_reference]],"")</f>
        <v>Broiler_2.6 kg alive at 112 days_2 feeds_3</v>
      </c>
      <c r="B5" s="7">
        <f t="shared" si="0"/>
        <v>4</v>
      </c>
      <c r="C5" s="7">
        <f>IF(COUNTIF($A$2:A5,A5)=1,ROW()-1,"")</f>
        <v>4</v>
      </c>
      <c r="D5" s="7">
        <f t="shared" si="1"/>
        <v>10</v>
      </c>
      <c r="E5" s="11" t="str">
        <f t="shared" si="2"/>
        <v>Broiler_2.6 kg alive at 126 days_4 feeds_4</v>
      </c>
      <c r="F5" s="3" t="str">
        <f>IFERROR(Requirment[[#This Row],[Formula_Name]],"")</f>
        <v>Finishing</v>
      </c>
      <c r="G5" s="7">
        <f t="shared" si="3"/>
        <v>4</v>
      </c>
      <c r="H5" s="7" t="str">
        <f>IF(COUNTIF($F$2:F5,F5)=1,ROW()-1,"")</f>
        <v/>
      </c>
      <c r="I5" s="2">
        <f t="shared" si="4"/>
        <v>10</v>
      </c>
      <c r="J5" s="10" t="str">
        <f t="shared" si="5"/>
        <v>Finishing 1</v>
      </c>
      <c r="L5" t="s">
        <v>308</v>
      </c>
    </row>
    <row r="6" spans="1:12" x14ac:dyDescent="0.25">
      <c r="A6" s="3" t="str">
        <f>IFERROR(Requirment[[#This Row],[Scenarios_reference]],"")</f>
        <v>Broiler_2.6 kg alive at 112 days_2 feeds_3</v>
      </c>
      <c r="B6" s="7">
        <f t="shared" si="0"/>
        <v>5</v>
      </c>
      <c r="C6" s="7" t="str">
        <f>IF(COUNTIF($A$2:A6,A6)=1,ROW()-1,"")</f>
        <v/>
      </c>
      <c r="D6" s="7">
        <f t="shared" si="1"/>
        <v>14</v>
      </c>
      <c r="E6" s="11" t="str">
        <f t="shared" si="2"/>
        <v>Broiler_2.6 kg alive at 98 days_2 feeds_2</v>
      </c>
      <c r="F6" s="3" t="str">
        <f>IFERROR(Requirment[[#This Row],[Formula_Name]],"")</f>
        <v>Growing</v>
      </c>
      <c r="G6" s="7">
        <f t="shared" si="3"/>
        <v>5</v>
      </c>
      <c r="H6" s="7" t="str">
        <f>IF(COUNTIF($F$2:F6,F6)=1,ROW()-1,"")</f>
        <v/>
      </c>
      <c r="I6" s="2">
        <f t="shared" si="4"/>
        <v>11</v>
      </c>
      <c r="J6" s="10" t="str">
        <f t="shared" si="5"/>
        <v>Finishing 2</v>
      </c>
    </row>
    <row r="7" spans="1:12" x14ac:dyDescent="0.25">
      <c r="A7" s="3" t="str">
        <f>IFERROR(Requirment[[#This Row],[Scenarios_reference]],"")</f>
        <v>Broiler_2.6 kg alive at 112 days_2 feeds_3</v>
      </c>
      <c r="B7" s="7">
        <f t="shared" si="0"/>
        <v>6</v>
      </c>
      <c r="C7" s="7" t="str">
        <f>IF(COUNTIF($A$2:A7,A7)=1,ROW()-1,"")</f>
        <v/>
      </c>
      <c r="D7" s="7">
        <f t="shared" si="1"/>
        <v>16</v>
      </c>
      <c r="E7" s="11" t="str">
        <f t="shared" si="2"/>
        <v>Broiler_2.6 kg alive at 98 days_3 feeds_3</v>
      </c>
      <c r="F7" s="3" t="str">
        <f>IFERROR(Requirment[[#This Row],[Formula_Name]],"")</f>
        <v>Starter</v>
      </c>
      <c r="G7" s="7">
        <f t="shared" si="3"/>
        <v>6</v>
      </c>
      <c r="H7" s="7" t="str">
        <f>IF(COUNTIF($F$2:F7,F7)=1,ROW()-1,"")</f>
        <v/>
      </c>
      <c r="I7" s="2">
        <f t="shared" si="4"/>
        <v>14</v>
      </c>
      <c r="J7" s="10" t="str">
        <f t="shared" si="5"/>
        <v>Single feed</v>
      </c>
    </row>
    <row r="8" spans="1:12" x14ac:dyDescent="0.25">
      <c r="A8" s="3" t="str">
        <f>IFERROR(Requirment[[#This Row],[Scenarios_reference]],"")</f>
        <v>Broiler_2.6 kg alive at 126 days_3 feeds_3</v>
      </c>
      <c r="B8" s="7">
        <f t="shared" si="0"/>
        <v>7</v>
      </c>
      <c r="C8" s="7">
        <f>IF(COUNTIF($A$2:A8,A8)=1,ROW()-1,"")</f>
        <v>7</v>
      </c>
      <c r="D8" s="7">
        <f t="shared" si="1"/>
        <v>19</v>
      </c>
      <c r="E8" s="11" t="str">
        <f t="shared" si="2"/>
        <v>Broiler_2.4 kg alive 84 days_2</v>
      </c>
      <c r="F8" s="3" t="str">
        <f>IFERROR(Requirment[[#This Row],[Formula_Name]],"")</f>
        <v>Finishing</v>
      </c>
      <c r="G8" s="7">
        <f t="shared" si="3"/>
        <v>7</v>
      </c>
      <c r="H8" s="7" t="str">
        <f>IF(COUNTIF($F$2:F8,F8)=1,ROW()-1,"")</f>
        <v/>
      </c>
      <c r="I8" s="2">
        <f t="shared" si="4"/>
        <v>23</v>
      </c>
      <c r="J8" s="10" t="str">
        <f t="shared" si="5"/>
        <v>Laying</v>
      </c>
    </row>
    <row r="9" spans="1:12" x14ac:dyDescent="0.25">
      <c r="A9" s="3" t="str">
        <f>IFERROR(Requirment[[#This Row],[Scenarios_reference]],"")</f>
        <v>Broiler_2.6 kg alive at 126 days_3 feeds_3</v>
      </c>
      <c r="B9" s="7">
        <f t="shared" si="0"/>
        <v>8</v>
      </c>
      <c r="C9" s="7" t="str">
        <f>IF(COUNTIF($A$2:A9,A9)=1,ROW()-1,"")</f>
        <v/>
      </c>
      <c r="D9" s="7">
        <f t="shared" si="1"/>
        <v>21</v>
      </c>
      <c r="E9" s="11" t="str">
        <f t="shared" si="2"/>
        <v>Pullets_Growers_2</v>
      </c>
      <c r="F9" s="3" t="str">
        <f>IFERROR(Requirment[[#This Row],[Formula_Name]],"")</f>
        <v>Growing</v>
      </c>
      <c r="G9" s="7">
        <f t="shared" si="3"/>
        <v>8</v>
      </c>
      <c r="H9" s="7" t="str">
        <f>IF(COUNTIF($F$2:F9,F9)=1,ROW()-1,"")</f>
        <v/>
      </c>
      <c r="I9" s="2">
        <f t="shared" si="4"/>
        <v>24</v>
      </c>
      <c r="J9" s="10" t="str">
        <f t="shared" si="5"/>
        <v>Starter laying</v>
      </c>
    </row>
    <row r="10" spans="1:12" x14ac:dyDescent="0.25">
      <c r="A10" s="3" t="str">
        <f>IFERROR(Requirment[[#This Row],[Scenarios_reference]],"")</f>
        <v>Broiler_2.6 kg alive at 126 days_3 feeds_3</v>
      </c>
      <c r="B10" s="7">
        <f t="shared" si="0"/>
        <v>9</v>
      </c>
      <c r="C10" s="7" t="str">
        <f>IF(COUNTIF($A$2:A10,A10)=1,ROW()-1,"")</f>
        <v/>
      </c>
      <c r="D10" s="7">
        <f t="shared" si="1"/>
        <v>23</v>
      </c>
      <c r="E10" s="11" t="str">
        <f t="shared" si="2"/>
        <v>Laying Hen_High level 250 to 300 eggs per year_ 2 Feeds_2</v>
      </c>
      <c r="F10" s="3" t="str">
        <f>IFERROR(Requirment[[#This Row],[Formula_Name]],"")</f>
        <v>Starter</v>
      </c>
      <c r="G10" s="7">
        <f t="shared" si="3"/>
        <v>9</v>
      </c>
      <c r="H10" s="7" t="str">
        <f>IF(COUNTIF($F$2:F10,F10)=1,ROW()-1,"")</f>
        <v/>
      </c>
      <c r="I10" s="2">
        <f t="shared" si="4"/>
        <v>32</v>
      </c>
      <c r="J10" s="10">
        <f t="shared" si="5"/>
        <v>0</v>
      </c>
    </row>
    <row r="11" spans="1:12" x14ac:dyDescent="0.25">
      <c r="A11" s="3" t="str">
        <f>IFERROR(Requirment[[#This Row],[Scenarios_reference]],"")</f>
        <v>Broiler_2.6 kg alive at 126 days_4 feeds_4</v>
      </c>
      <c r="B11" s="7">
        <f t="shared" si="0"/>
        <v>10</v>
      </c>
      <c r="C11" s="7">
        <f>IF(COUNTIF($A$2:A11,A11)=1,ROW()-1,"")</f>
        <v>10</v>
      </c>
      <c r="D11" s="7">
        <f t="shared" si="1"/>
        <v>25</v>
      </c>
      <c r="E11" s="11" t="str">
        <f t="shared" si="2"/>
        <v>Laying Hen_High level 250 to 300 eggs per year_ 3 Feeds_2</v>
      </c>
      <c r="F11" s="3" t="str">
        <f>IFERROR(Requirment[[#This Row],[Formula_Name]],"")</f>
        <v>Finishing 1</v>
      </c>
      <c r="G11" s="7">
        <f t="shared" si="3"/>
        <v>10</v>
      </c>
      <c r="H11" s="7">
        <f>IF(COUNTIF($F$2:F11,F11)=1,ROW()-1,"")</f>
        <v>10</v>
      </c>
      <c r="I11" s="2" t="str">
        <f t="shared" si="4"/>
        <v/>
      </c>
      <c r="J11" s="10" t="str">
        <f t="shared" si="5"/>
        <v/>
      </c>
    </row>
    <row r="12" spans="1:12" x14ac:dyDescent="0.25">
      <c r="A12" s="3" t="str">
        <f>IFERROR(Requirment[[#This Row],[Scenarios_reference]],"")</f>
        <v>Broiler_2.6 kg alive at 126 days_4 feeds_4</v>
      </c>
      <c r="B12" s="7">
        <f t="shared" si="0"/>
        <v>11</v>
      </c>
      <c r="C12" s="7" t="str">
        <f>IF(COUNTIF($A$2:A12,A12)=1,ROW()-1,"")</f>
        <v/>
      </c>
      <c r="D12" s="7">
        <f t="shared" si="1"/>
        <v>28</v>
      </c>
      <c r="E12" s="11" t="str">
        <f t="shared" si="2"/>
        <v>Laying Hen_Low level 170 eggs per year_ 2 Feeds_2</v>
      </c>
      <c r="F12" s="3" t="str">
        <f>IFERROR(Requirment[[#This Row],[Formula_Name]],"")</f>
        <v>Finishing 2</v>
      </c>
      <c r="G12" s="7">
        <f t="shared" si="3"/>
        <v>11</v>
      </c>
      <c r="H12" s="7">
        <f>IF(COUNTIF($F$2:F12,F12)=1,ROW()-1,"")</f>
        <v>11</v>
      </c>
      <c r="I12" s="2" t="str">
        <f t="shared" si="4"/>
        <v/>
      </c>
      <c r="J12" s="10" t="str">
        <f t="shared" si="5"/>
        <v/>
      </c>
    </row>
    <row r="13" spans="1:12" x14ac:dyDescent="0.25">
      <c r="A13" s="3" t="str">
        <f>IFERROR(Requirment[[#This Row],[Scenarios_reference]],"")</f>
        <v>Broiler_2.6 kg alive at 126 days_4 feeds_4</v>
      </c>
      <c r="B13" s="7">
        <f t="shared" si="0"/>
        <v>12</v>
      </c>
      <c r="C13" s="7" t="str">
        <f>IF(COUNTIF($A$2:A13,A13)=1,ROW()-1,"")</f>
        <v/>
      </c>
      <c r="D13" s="7">
        <f t="shared" si="1"/>
        <v>30</v>
      </c>
      <c r="E13" s="11" t="str">
        <f t="shared" si="2"/>
        <v>Laying hens_One feed ans grains  no Min Max_1</v>
      </c>
      <c r="F13" s="3" t="str">
        <f>IFERROR(Requirment[[#This Row],[Formula_Name]],"")</f>
        <v>Growing</v>
      </c>
      <c r="G13" s="7">
        <f t="shared" si="3"/>
        <v>12</v>
      </c>
      <c r="H13" s="7" t="str">
        <f>IF(COUNTIF($F$2:F13,F13)=1,ROW()-1,"")</f>
        <v/>
      </c>
      <c r="I13" s="2" t="str">
        <f t="shared" si="4"/>
        <v/>
      </c>
      <c r="J13" s="10" t="str">
        <f t="shared" si="5"/>
        <v/>
      </c>
    </row>
    <row r="14" spans="1:12" x14ac:dyDescent="0.25">
      <c r="A14" s="3" t="str">
        <f>IFERROR(Requirment[[#This Row],[Scenarios_reference]],"")</f>
        <v>Broiler_2.6 kg alive at 126 days_4 feeds_4</v>
      </c>
      <c r="B14" s="7">
        <f t="shared" si="0"/>
        <v>13</v>
      </c>
      <c r="C14" s="7" t="str">
        <f>IF(COUNTIF($A$2:A14,A14)=1,ROW()-1,"")</f>
        <v/>
      </c>
      <c r="D14" s="7">
        <f t="shared" si="1"/>
        <v>31</v>
      </c>
      <c r="E14" s="11" t="str">
        <f t="shared" si="2"/>
        <v>Broiler_Broiler_2.6 kg alive at 98 days_3 feeds_3_Finishing_Red clover silage_3</v>
      </c>
      <c r="F14" s="3" t="str">
        <f>IFERROR(Requirment[[#This Row],[Formula_Name]],"")</f>
        <v>Starter</v>
      </c>
      <c r="G14" s="7">
        <f t="shared" si="3"/>
        <v>13</v>
      </c>
      <c r="H14" s="7" t="str">
        <f>IF(COUNTIF($F$2:F14,F14)=1,ROW()-1,"")</f>
        <v/>
      </c>
      <c r="I14" s="2" t="str">
        <f t="shared" si="4"/>
        <v/>
      </c>
      <c r="J14" s="10" t="str">
        <f t="shared" si="5"/>
        <v/>
      </c>
    </row>
    <row r="15" spans="1:12" x14ac:dyDescent="0.25">
      <c r="A15" s="3" t="str">
        <f>IFERROR(Requirment[[#This Row],[Scenarios_reference]],"")</f>
        <v>Broiler_2.6 kg alive at 98 days_2 feeds_2</v>
      </c>
      <c r="B15" s="7">
        <f t="shared" si="0"/>
        <v>14</v>
      </c>
      <c r="C15" s="7">
        <f>IF(COUNTIF($A$2:A15,A15)=1,ROW()-1,"")</f>
        <v>14</v>
      </c>
      <c r="D15" s="7">
        <f t="shared" si="1"/>
        <v>32</v>
      </c>
      <c r="E15" s="11" t="str">
        <f t="shared" si="2"/>
        <v>__</v>
      </c>
      <c r="F15" s="3" t="str">
        <f>IFERROR(Requirment[[#This Row],[Formula_Name]],"")</f>
        <v>Single feed</v>
      </c>
      <c r="G15" s="7">
        <f t="shared" si="3"/>
        <v>14</v>
      </c>
      <c r="H15" s="7">
        <f>IF(COUNTIF($F$2:F15,F15)=1,ROW()-1,"")</f>
        <v>14</v>
      </c>
      <c r="I15" s="2" t="str">
        <f t="shared" si="4"/>
        <v/>
      </c>
      <c r="J15" s="10" t="str">
        <f t="shared" si="5"/>
        <v/>
      </c>
    </row>
    <row r="16" spans="1:12" x14ac:dyDescent="0.25">
      <c r="A16" s="3" t="str">
        <f>IFERROR(Requirment[[#This Row],[Scenarios_reference]],"")</f>
        <v>Broiler_2.6 kg alive at 98 days_2 feeds_2</v>
      </c>
      <c r="B16" s="7">
        <f t="shared" si="0"/>
        <v>15</v>
      </c>
      <c r="C16" s="7" t="str">
        <f>IF(COUNTIF($A$2:A16,A16)=1,ROW()-1,"")</f>
        <v/>
      </c>
      <c r="D16" s="7" t="str">
        <f t="shared" si="1"/>
        <v/>
      </c>
      <c r="E16" s="11" t="str">
        <f t="shared" si="2"/>
        <v/>
      </c>
      <c r="F16" s="3" t="str">
        <f>IFERROR(Requirment[[#This Row],[Formula_Name]],"")</f>
        <v>Starter</v>
      </c>
      <c r="G16" s="7">
        <f t="shared" si="3"/>
        <v>15</v>
      </c>
      <c r="H16" s="7" t="str">
        <f>IF(COUNTIF($F$2:F16,F16)=1,ROW()-1,"")</f>
        <v/>
      </c>
      <c r="I16" s="2" t="str">
        <f t="shared" si="4"/>
        <v/>
      </c>
      <c r="J16" s="10" t="str">
        <f t="shared" si="5"/>
        <v/>
      </c>
    </row>
    <row r="17" spans="1:10" x14ac:dyDescent="0.25">
      <c r="A17" s="3" t="str">
        <f>IFERROR(Requirment[[#This Row],[Scenarios_reference]],"")</f>
        <v>Broiler_2.6 kg alive at 98 days_3 feeds_3</v>
      </c>
      <c r="B17" s="7">
        <f t="shared" si="0"/>
        <v>16</v>
      </c>
      <c r="C17" s="7">
        <f>IF(COUNTIF($A$2:A17,A17)=1,ROW()-1,"")</f>
        <v>16</v>
      </c>
      <c r="D17" s="7" t="str">
        <f t="shared" si="1"/>
        <v/>
      </c>
      <c r="E17" s="11" t="str">
        <f t="shared" si="2"/>
        <v/>
      </c>
      <c r="F17" s="3" t="str">
        <f>IFERROR(Requirment[[#This Row],[Formula_Name]],"")</f>
        <v>Finishing</v>
      </c>
      <c r="G17" s="7">
        <f t="shared" si="3"/>
        <v>16</v>
      </c>
      <c r="H17" s="7" t="str">
        <f>IF(COUNTIF($F$2:F17,F17)=1,ROW()-1,"")</f>
        <v/>
      </c>
      <c r="I17" s="2" t="str">
        <f t="shared" si="4"/>
        <v/>
      </c>
      <c r="J17" s="10" t="str">
        <f t="shared" si="5"/>
        <v/>
      </c>
    </row>
    <row r="18" spans="1:10" x14ac:dyDescent="0.25">
      <c r="A18" s="3" t="str">
        <f>IFERROR(Requirment[[#This Row],[Scenarios_reference]],"")</f>
        <v>Broiler_2.6 kg alive at 98 days_3 feeds_3</v>
      </c>
      <c r="B18" s="7">
        <f t="shared" si="0"/>
        <v>17</v>
      </c>
      <c r="C18" s="7" t="str">
        <f>IF(COUNTIF($A$2:A18,A18)=1,ROW()-1,"")</f>
        <v/>
      </c>
      <c r="D18" s="7" t="str">
        <f t="shared" si="1"/>
        <v/>
      </c>
      <c r="E18" s="11" t="str">
        <f t="shared" si="2"/>
        <v/>
      </c>
      <c r="F18" s="3" t="str">
        <f>IFERROR(Requirment[[#This Row],[Formula_Name]],"")</f>
        <v>Growing</v>
      </c>
      <c r="G18" s="7">
        <f t="shared" si="3"/>
        <v>17</v>
      </c>
      <c r="H18" s="7" t="str">
        <f>IF(COUNTIF($F$2:F18,F18)=1,ROW()-1,"")</f>
        <v/>
      </c>
      <c r="I18" s="2" t="str">
        <f t="shared" si="4"/>
        <v/>
      </c>
      <c r="J18" s="10" t="str">
        <f t="shared" si="5"/>
        <v/>
      </c>
    </row>
    <row r="19" spans="1:10" x14ac:dyDescent="0.25">
      <c r="A19" s="3" t="str">
        <f>IFERROR(Requirment[[#This Row],[Scenarios_reference]],"")</f>
        <v>Broiler_2.6 kg alive at 98 days_3 feeds_3</v>
      </c>
      <c r="B19" s="7">
        <f t="shared" si="0"/>
        <v>18</v>
      </c>
      <c r="C19" s="7" t="str">
        <f>IF(COUNTIF($A$2:A19,A19)=1,ROW()-1,"")</f>
        <v/>
      </c>
      <c r="D19" s="7" t="str">
        <f t="shared" si="1"/>
        <v/>
      </c>
      <c r="E19" s="11" t="str">
        <f t="shared" si="2"/>
        <v/>
      </c>
      <c r="F19" s="3" t="str">
        <f>IFERROR(Requirment[[#This Row],[Formula_Name]],"")</f>
        <v>Starter</v>
      </c>
      <c r="G19" s="7">
        <f t="shared" si="3"/>
        <v>18</v>
      </c>
      <c r="H19" s="7" t="str">
        <f>IF(COUNTIF($F$2:F19,F19)=1,ROW()-1,"")</f>
        <v/>
      </c>
      <c r="I19" s="2" t="str">
        <f t="shared" si="4"/>
        <v/>
      </c>
      <c r="J19" s="10" t="str">
        <f t="shared" si="5"/>
        <v/>
      </c>
    </row>
    <row r="20" spans="1:10" x14ac:dyDescent="0.25">
      <c r="A20" s="3" t="str">
        <f>IFERROR(Requirment[[#This Row],[Scenarios_reference]],"")</f>
        <v>Broiler_2.4 kg alive 84 days_2</v>
      </c>
      <c r="B20" s="7">
        <f t="shared" si="0"/>
        <v>19</v>
      </c>
      <c r="C20" s="7">
        <f>IF(COUNTIF($A$2:A20,A20)=1,ROW()-1,"")</f>
        <v>19</v>
      </c>
      <c r="D20" s="7" t="str">
        <f t="shared" si="1"/>
        <v/>
      </c>
      <c r="E20" s="11" t="str">
        <f t="shared" si="2"/>
        <v/>
      </c>
      <c r="F20" s="3" t="str">
        <f>IFERROR(Requirment[[#This Row],[Formula_Name]],"")</f>
        <v>Finishing</v>
      </c>
      <c r="G20" s="7">
        <f t="shared" si="3"/>
        <v>19</v>
      </c>
      <c r="H20" s="7" t="str">
        <f>IF(COUNTIF($F$2:F20,F20)=1,ROW()-1,"")</f>
        <v/>
      </c>
      <c r="I20" s="2" t="str">
        <f t="shared" si="4"/>
        <v/>
      </c>
      <c r="J20" s="10" t="str">
        <f t="shared" si="5"/>
        <v/>
      </c>
    </row>
    <row r="21" spans="1:10" x14ac:dyDescent="0.25">
      <c r="A21" s="3" t="str">
        <f>IFERROR(Requirment[[#This Row],[Scenarios_reference]],"")</f>
        <v>Broiler_2.4 kg alive 84 days_2</v>
      </c>
      <c r="B21" s="7">
        <f t="shared" si="0"/>
        <v>20</v>
      </c>
      <c r="C21" s="7" t="str">
        <f>IF(COUNTIF($A$2:A21,A21)=1,ROW()-1,"")</f>
        <v/>
      </c>
      <c r="D21" s="7" t="str">
        <f t="shared" si="1"/>
        <v/>
      </c>
      <c r="E21" s="11" t="str">
        <f t="shared" si="2"/>
        <v/>
      </c>
      <c r="F21" s="3" t="str">
        <f>IFERROR(Requirment[[#This Row],[Formula_Name]],"")</f>
        <v>Starter</v>
      </c>
      <c r="G21" s="7">
        <f t="shared" si="3"/>
        <v>20</v>
      </c>
      <c r="H21" s="7" t="str">
        <f>IF(COUNTIF($F$2:F21,F21)=1,ROW()-1,"")</f>
        <v/>
      </c>
      <c r="I21" s="2" t="str">
        <f t="shared" si="4"/>
        <v/>
      </c>
      <c r="J21" s="10" t="str">
        <f t="shared" si="5"/>
        <v/>
      </c>
    </row>
    <row r="22" spans="1:10" x14ac:dyDescent="0.25">
      <c r="A22" s="3" t="str">
        <f>IFERROR(Requirment[[#This Row],[Scenarios_reference]],"")</f>
        <v>Pullets_Growers_2</v>
      </c>
      <c r="B22" s="7">
        <f t="shared" si="0"/>
        <v>21</v>
      </c>
      <c r="C22" s="7">
        <f>IF(COUNTIF($A$2:A22,A22)=1,ROW()-1,"")</f>
        <v>21</v>
      </c>
      <c r="D22" s="7" t="str">
        <f t="shared" si="1"/>
        <v/>
      </c>
      <c r="E22" s="11" t="str">
        <f t="shared" si="2"/>
        <v/>
      </c>
      <c r="F22" s="3" t="str">
        <f>IFERROR(Requirment[[#This Row],[Formula_Name]],"")</f>
        <v>Growing</v>
      </c>
      <c r="G22" s="7">
        <f t="shared" si="3"/>
        <v>21</v>
      </c>
      <c r="H22" s="7" t="str">
        <f>IF(COUNTIF($F$2:F22,F22)=1,ROW()-1,"")</f>
        <v/>
      </c>
      <c r="I22" s="2" t="str">
        <f t="shared" si="4"/>
        <v/>
      </c>
      <c r="J22" s="10" t="str">
        <f t="shared" si="5"/>
        <v/>
      </c>
    </row>
    <row r="23" spans="1:10" x14ac:dyDescent="0.25">
      <c r="A23" s="3" t="str">
        <f>IFERROR(Requirment[[#This Row],[Scenarios_reference]],"")</f>
        <v>Pullets_Growers_2</v>
      </c>
      <c r="B23" s="7">
        <f t="shared" si="0"/>
        <v>22</v>
      </c>
      <c r="C23" s="7" t="str">
        <f>IF(COUNTIF($A$2:A23,A23)=1,ROW()-1,"")</f>
        <v/>
      </c>
      <c r="D23" s="7" t="str">
        <f t="shared" si="1"/>
        <v/>
      </c>
      <c r="E23" s="11" t="str">
        <f t="shared" si="2"/>
        <v/>
      </c>
      <c r="F23" s="3" t="str">
        <f>IFERROR(Requirment[[#This Row],[Formula_Name]],"")</f>
        <v>Starter</v>
      </c>
      <c r="G23" s="7">
        <f t="shared" si="3"/>
        <v>22</v>
      </c>
      <c r="H23" s="7" t="str">
        <f>IF(COUNTIF($F$2:F23,F23)=1,ROW()-1,"")</f>
        <v/>
      </c>
      <c r="I23" s="2" t="str">
        <f t="shared" si="4"/>
        <v/>
      </c>
      <c r="J23" s="10" t="str">
        <f t="shared" si="5"/>
        <v/>
      </c>
    </row>
    <row r="24" spans="1:10" x14ac:dyDescent="0.25">
      <c r="A24" s="3" t="str">
        <f>IFERROR(Requirment[[#This Row],[Scenarios_reference]],"")</f>
        <v>Laying Hen_High level 250 to 300 eggs per year_ 2 Feeds_2</v>
      </c>
      <c r="B24" s="7">
        <f t="shared" si="0"/>
        <v>23</v>
      </c>
      <c r="C24" s="7">
        <f>IF(COUNTIF($A$2:A24,A24)=1,ROW()-1,"")</f>
        <v>23</v>
      </c>
      <c r="D24" s="7" t="str">
        <f t="shared" si="1"/>
        <v/>
      </c>
      <c r="E24" s="11" t="str">
        <f t="shared" si="2"/>
        <v/>
      </c>
      <c r="F24" s="3" t="str">
        <f>IFERROR(Requirment[[#This Row],[Formula_Name]],"")</f>
        <v>Laying</v>
      </c>
      <c r="G24" s="7">
        <f t="shared" si="3"/>
        <v>23</v>
      </c>
      <c r="H24" s="7">
        <f>IF(COUNTIF($F$2:F24,F24)=1,ROW()-1,"")</f>
        <v>23</v>
      </c>
      <c r="I24" s="2" t="str">
        <f t="shared" si="4"/>
        <v/>
      </c>
      <c r="J24" s="10" t="str">
        <f t="shared" si="5"/>
        <v/>
      </c>
    </row>
    <row r="25" spans="1:10" x14ac:dyDescent="0.25">
      <c r="A25" s="3" t="str">
        <f>IFERROR(Requirment[[#This Row],[Scenarios_reference]],"")</f>
        <v>Laying Hen_High level 250 to 300 eggs per year_ 2 Feeds_2</v>
      </c>
      <c r="B25" s="7">
        <f t="shared" si="0"/>
        <v>24</v>
      </c>
      <c r="C25" s="7" t="str">
        <f>IF(COUNTIF($A$2:A25,A25)=1,ROW()-1,"")</f>
        <v/>
      </c>
      <c r="D25" s="7" t="str">
        <f t="shared" si="1"/>
        <v/>
      </c>
      <c r="E25" s="11" t="str">
        <f t="shared" si="2"/>
        <v/>
      </c>
      <c r="F25" s="3" t="str">
        <f>IFERROR(Requirment[[#This Row],[Formula_Name]],"")</f>
        <v>Starter laying</v>
      </c>
      <c r="G25" s="7">
        <f t="shared" si="3"/>
        <v>24</v>
      </c>
      <c r="H25" s="7">
        <f>IF(COUNTIF($F$2:F25,F25)=1,ROW()-1,"")</f>
        <v>24</v>
      </c>
      <c r="I25" s="2" t="str">
        <f t="shared" si="4"/>
        <v/>
      </c>
      <c r="J25" s="10" t="str">
        <f t="shared" si="5"/>
        <v/>
      </c>
    </row>
    <row r="26" spans="1:10" x14ac:dyDescent="0.25">
      <c r="A26" s="3" t="str">
        <f>IFERROR(Requirment[[#This Row],[Scenarios_reference]],"")</f>
        <v>Laying Hen_High level 250 to 300 eggs per year_ 3 Feeds_2</v>
      </c>
      <c r="B26" s="7">
        <f t="shared" si="0"/>
        <v>25</v>
      </c>
      <c r="C26" s="7">
        <f>IF(COUNTIF($A$2:A26,A26)=1,ROW()-1,"")</f>
        <v>25</v>
      </c>
      <c r="D26" s="7" t="str">
        <f t="shared" si="1"/>
        <v/>
      </c>
      <c r="E26" s="11" t="str">
        <f t="shared" si="2"/>
        <v/>
      </c>
      <c r="F26" s="3" t="str">
        <f>IFERROR(Requirment[[#This Row],[Formula_Name]],"")</f>
        <v>Laying</v>
      </c>
      <c r="G26" s="7">
        <f t="shared" si="3"/>
        <v>25</v>
      </c>
      <c r="H26" s="7" t="str">
        <f>IF(COUNTIF($F$2:F26,F26)=1,ROW()-1,"")</f>
        <v/>
      </c>
      <c r="I26" s="2" t="str">
        <f t="shared" si="4"/>
        <v/>
      </c>
      <c r="J26" s="10" t="str">
        <f t="shared" si="5"/>
        <v/>
      </c>
    </row>
    <row r="27" spans="1:10" x14ac:dyDescent="0.25">
      <c r="A27" s="3" t="str">
        <f>IFERROR(Requirment[[#This Row],[Scenarios_reference]],"")</f>
        <v>Laying Hen_High level 250 to 300 eggs per year_ 3 Feeds_2</v>
      </c>
      <c r="B27" s="7">
        <f t="shared" si="0"/>
        <v>26</v>
      </c>
      <c r="C27" s="7" t="str">
        <f>IF(COUNTIF($A$2:A27,A27)=1,ROW()-1,"")</f>
        <v/>
      </c>
      <c r="D27" s="7" t="str">
        <f t="shared" si="1"/>
        <v/>
      </c>
      <c r="E27" s="11" t="str">
        <f t="shared" si="2"/>
        <v/>
      </c>
      <c r="F27" s="3" t="str">
        <f>IFERROR(Requirment[[#This Row],[Formula_Name]],"")</f>
        <v>Laying</v>
      </c>
      <c r="G27" s="7">
        <f t="shared" si="3"/>
        <v>26</v>
      </c>
      <c r="H27" s="7" t="str">
        <f>IF(COUNTIF($F$2:F27,F27)=1,ROW()-1,"")</f>
        <v/>
      </c>
      <c r="I27" s="2" t="str">
        <f t="shared" si="4"/>
        <v/>
      </c>
      <c r="J27" s="10" t="str">
        <f t="shared" si="5"/>
        <v/>
      </c>
    </row>
    <row r="28" spans="1:10" x14ac:dyDescent="0.25">
      <c r="A28" s="3" t="str">
        <f>IFERROR(Requirment[[#This Row],[Scenarios_reference]],"")</f>
        <v>Laying Hen_High level 250 to 300 eggs per year_ 3 Feeds_2</v>
      </c>
      <c r="B28" s="7">
        <f t="shared" si="0"/>
        <v>27</v>
      </c>
      <c r="C28" s="7" t="str">
        <f>IF(COUNTIF($A$2:A28,A28)=1,ROW()-1,"")</f>
        <v/>
      </c>
      <c r="D28" s="7" t="str">
        <f t="shared" si="1"/>
        <v/>
      </c>
      <c r="E28" s="11" t="str">
        <f t="shared" si="2"/>
        <v/>
      </c>
      <c r="F28" s="3" t="str">
        <f>IFERROR(Requirment[[#This Row],[Formula_Name]],"")</f>
        <v>Starter laying</v>
      </c>
      <c r="G28" s="7">
        <f t="shared" si="3"/>
        <v>27</v>
      </c>
      <c r="H28" s="7" t="str">
        <f>IF(COUNTIF($F$2:F28,F28)=1,ROW()-1,"")</f>
        <v/>
      </c>
      <c r="I28" s="2" t="str">
        <f t="shared" si="4"/>
        <v/>
      </c>
      <c r="J28" s="10" t="str">
        <f t="shared" si="5"/>
        <v/>
      </c>
    </row>
    <row r="29" spans="1:10" x14ac:dyDescent="0.25">
      <c r="A29" s="3" t="str">
        <f>IFERROR(Requirment[[#This Row],[Scenarios_reference]],"")</f>
        <v>Laying Hen_Low level 170 eggs per year_ 2 Feeds_2</v>
      </c>
      <c r="B29" s="7">
        <f t="shared" si="0"/>
        <v>28</v>
      </c>
      <c r="C29" s="7">
        <f>IF(COUNTIF($A$2:A29,A29)=1,ROW()-1,"")</f>
        <v>28</v>
      </c>
      <c r="D29" s="7" t="str">
        <f t="shared" si="1"/>
        <v/>
      </c>
      <c r="E29" s="11" t="str">
        <f t="shared" si="2"/>
        <v/>
      </c>
      <c r="F29" s="3" t="str">
        <f>IFERROR(Requirment[[#This Row],[Formula_Name]],"")</f>
        <v>Laying</v>
      </c>
      <c r="G29" s="7">
        <f t="shared" si="3"/>
        <v>28</v>
      </c>
      <c r="H29" s="7" t="str">
        <f>IF(COUNTIF($F$2:F29,F29)=1,ROW()-1,"")</f>
        <v/>
      </c>
      <c r="I29" s="2" t="str">
        <f t="shared" si="4"/>
        <v/>
      </c>
      <c r="J29" s="10" t="str">
        <f t="shared" si="5"/>
        <v/>
      </c>
    </row>
    <row r="30" spans="1:10" x14ac:dyDescent="0.25">
      <c r="A30" s="3" t="str">
        <f>IFERROR(Requirment[[#This Row],[Scenarios_reference]],"")</f>
        <v>Laying Hen_Low level 170 eggs per year_ 2 Feeds_2</v>
      </c>
      <c r="B30" s="7">
        <f t="shared" si="0"/>
        <v>29</v>
      </c>
      <c r="C30" s="7" t="str">
        <f>IF(COUNTIF($A$2:A30,A30)=1,ROW()-1,"")</f>
        <v/>
      </c>
      <c r="D30" s="7" t="str">
        <f t="shared" si="1"/>
        <v/>
      </c>
      <c r="E30" s="11" t="str">
        <f t="shared" si="2"/>
        <v/>
      </c>
      <c r="F30" s="3" t="str">
        <f>IFERROR(Requirment[[#This Row],[Formula_Name]],"")</f>
        <v>Starter laying</v>
      </c>
      <c r="G30" s="7">
        <f t="shared" si="3"/>
        <v>29</v>
      </c>
      <c r="H30" s="7" t="str">
        <f>IF(COUNTIF($F$2:F30,F30)=1,ROW()-1,"")</f>
        <v/>
      </c>
      <c r="I30" s="2" t="str">
        <f t="shared" si="4"/>
        <v/>
      </c>
      <c r="J30" s="10" t="str">
        <f t="shared" si="5"/>
        <v/>
      </c>
    </row>
    <row r="31" spans="1:10" x14ac:dyDescent="0.25">
      <c r="A31" s="3" t="str">
        <f>IFERROR(Requirment[[#This Row],[Scenarios_reference]],"")</f>
        <v>Laying hens_One feed ans grains  no Min Max_1</v>
      </c>
      <c r="B31" s="7">
        <f t="shared" si="0"/>
        <v>30</v>
      </c>
      <c r="C31" s="7">
        <f>IF(COUNTIF($A$2:A31,A31)=1,ROW()-1,"")</f>
        <v>30</v>
      </c>
      <c r="D31" s="7" t="str">
        <f t="shared" si="1"/>
        <v/>
      </c>
      <c r="E31" s="11" t="str">
        <f t="shared" si="2"/>
        <v/>
      </c>
      <c r="F31" s="3" t="str">
        <f>IFERROR(Requirment[[#This Row],[Formula_Name]],"")</f>
        <v>Single feed</v>
      </c>
      <c r="G31" s="7">
        <f t="shared" si="3"/>
        <v>30</v>
      </c>
      <c r="H31" s="7" t="str">
        <f>IF(COUNTIF($F$2:F31,F31)=1,ROW()-1,"")</f>
        <v/>
      </c>
      <c r="I31" s="2" t="str">
        <f t="shared" si="4"/>
        <v/>
      </c>
      <c r="J31" s="10" t="str">
        <f t="shared" si="5"/>
        <v/>
      </c>
    </row>
    <row r="32" spans="1:10" x14ac:dyDescent="0.25">
      <c r="A32" s="3" t="str">
        <f>IFERROR(Requirment[[#This Row],[Scenarios_reference]],"")</f>
        <v>Broiler_Broiler_2.6 kg alive at 98 days_3 feeds_3_Finishing_Red clover silage_3</v>
      </c>
      <c r="B32" s="7">
        <f t="shared" si="0"/>
        <v>31</v>
      </c>
      <c r="C32" s="7">
        <f>IF(COUNTIF($A$2:A32,A32)=1,ROW()-1,"")</f>
        <v>31</v>
      </c>
      <c r="D32" s="7" t="str">
        <f t="shared" si="1"/>
        <v/>
      </c>
      <c r="E32" s="11" t="str">
        <f t="shared" si="2"/>
        <v/>
      </c>
      <c r="F32" s="3" t="str">
        <f>IFERROR(Requirment[[#This Row],[Formula_Name]],"")</f>
        <v>Finishing</v>
      </c>
      <c r="G32" s="7">
        <f t="shared" si="3"/>
        <v>31</v>
      </c>
      <c r="H32" s="7" t="str">
        <f>IF(COUNTIF($F$2:F32,F32)=1,ROW()-1,"")</f>
        <v/>
      </c>
      <c r="I32" s="2" t="str">
        <f t="shared" si="4"/>
        <v/>
      </c>
      <c r="J32" s="10" t="str">
        <f t="shared" si="5"/>
        <v/>
      </c>
    </row>
    <row r="33" spans="1:10" x14ac:dyDescent="0.25">
      <c r="A33" s="3" t="str">
        <f>IFERROR(Requirment[[#This Row],[Scenarios_reference]],"")</f>
        <v>__</v>
      </c>
      <c r="B33" s="7">
        <f t="shared" si="0"/>
        <v>32</v>
      </c>
      <c r="C33" s="7">
        <f>IF(COUNTIF($A$2:A33,A33)=1,ROW()-1,"")</f>
        <v>32</v>
      </c>
      <c r="D33" s="7" t="str">
        <f t="shared" si="1"/>
        <v/>
      </c>
      <c r="E33" s="11" t="str">
        <f t="shared" si="2"/>
        <v/>
      </c>
      <c r="F33" s="3">
        <f>IFERROR(Requirment[[#This Row],[Formula_Name]],"")</f>
        <v>0</v>
      </c>
      <c r="G33" s="7">
        <f t="shared" si="3"/>
        <v>32</v>
      </c>
      <c r="H33" s="7">
        <f>IF(COUNTIF($F$2:F33,F33)=1,ROW()-1,"")</f>
        <v>32</v>
      </c>
      <c r="I33" s="2" t="str">
        <f t="shared" si="4"/>
        <v/>
      </c>
      <c r="J33" s="10" t="str">
        <f t="shared" si="5"/>
        <v/>
      </c>
    </row>
    <row r="34" spans="1:10" x14ac:dyDescent="0.25">
      <c r="A34" s="3" t="str">
        <f>IFERROR(Requirment[[#This Row],[Scenarios_reference]],"")</f>
        <v>__</v>
      </c>
      <c r="B34" s="7">
        <f t="shared" si="0"/>
        <v>33</v>
      </c>
      <c r="C34" s="7" t="str">
        <f>IF(COUNTIF($A$2:A34,A34)=1,ROW()-1,"")</f>
        <v/>
      </c>
      <c r="D34" s="7" t="str">
        <f t="shared" si="1"/>
        <v/>
      </c>
      <c r="E34" s="11" t="str">
        <f t="shared" si="2"/>
        <v/>
      </c>
      <c r="F34" s="3">
        <f>IFERROR(Requirment[[#This Row],[Formula_Name]],"")</f>
        <v>0</v>
      </c>
      <c r="G34" s="7">
        <f t="shared" si="3"/>
        <v>33</v>
      </c>
      <c r="H34" s="7" t="str">
        <f>IF(COUNTIF($F$2:F34,F34)=1,ROW()-1,"")</f>
        <v/>
      </c>
      <c r="I34" s="2" t="str">
        <f t="shared" si="4"/>
        <v/>
      </c>
      <c r="J34" s="10" t="str">
        <f t="shared" si="5"/>
        <v/>
      </c>
    </row>
    <row r="35" spans="1:10" x14ac:dyDescent="0.25">
      <c r="A35" s="3" t="str">
        <f>IFERROR(Requirment[[#This Row],[Scenarios_reference]],"")</f>
        <v>__</v>
      </c>
      <c r="B35" s="7">
        <f t="shared" si="0"/>
        <v>34</v>
      </c>
      <c r="C35" s="7" t="str">
        <f>IF(COUNTIF($A$2:A35,A35)=1,ROW()-1,"")</f>
        <v/>
      </c>
      <c r="D35" s="7" t="str">
        <f t="shared" si="1"/>
        <v/>
      </c>
      <c r="E35" s="11" t="str">
        <f t="shared" si="2"/>
        <v/>
      </c>
      <c r="F35" s="3">
        <f>IFERROR(Requirment[[#This Row],[Formula_Name]],"")</f>
        <v>0</v>
      </c>
      <c r="G35" s="7">
        <f t="shared" si="3"/>
        <v>34</v>
      </c>
      <c r="H35" s="7" t="str">
        <f>IF(COUNTIF($F$2:F35,F35)=1,ROW()-1,"")</f>
        <v/>
      </c>
      <c r="I35" s="2" t="str">
        <f t="shared" si="4"/>
        <v/>
      </c>
      <c r="J35" s="10" t="str">
        <f t="shared" si="5"/>
        <v/>
      </c>
    </row>
    <row r="36" spans="1:10" x14ac:dyDescent="0.25">
      <c r="A36" s="3" t="str">
        <f>IFERROR(Requirment[[#This Row],[Scenarios_reference]],"")</f>
        <v>__</v>
      </c>
      <c r="B36" s="7">
        <f t="shared" si="0"/>
        <v>35</v>
      </c>
      <c r="C36" s="7" t="str">
        <f>IF(COUNTIF($A$2:A36,A36)=1,ROW()-1,"")</f>
        <v/>
      </c>
      <c r="D36" s="7" t="str">
        <f t="shared" si="1"/>
        <v/>
      </c>
      <c r="E36" s="11" t="str">
        <f t="shared" si="2"/>
        <v/>
      </c>
      <c r="F36" s="3">
        <f>IFERROR(Requirment[[#This Row],[Formula_Name]],"")</f>
        <v>0</v>
      </c>
      <c r="G36" s="7">
        <f t="shared" si="3"/>
        <v>35</v>
      </c>
      <c r="H36" s="7" t="str">
        <f>IF(COUNTIF($F$2:F36,F36)=1,ROW()-1,"")</f>
        <v/>
      </c>
      <c r="I36" s="2" t="str">
        <f t="shared" si="4"/>
        <v/>
      </c>
      <c r="J36" s="10" t="str">
        <f t="shared" si="5"/>
        <v/>
      </c>
    </row>
    <row r="37" spans="1:10" x14ac:dyDescent="0.25">
      <c r="A37" s="3" t="str">
        <f>IFERROR(Requirment[[#This Row],[Scenarios_reference]],"")</f>
        <v>__</v>
      </c>
      <c r="B37" s="7">
        <f t="shared" si="0"/>
        <v>36</v>
      </c>
      <c r="C37" s="7" t="str">
        <f>IF(COUNTIF($A$2:A37,A37)=1,ROW()-1,"")</f>
        <v/>
      </c>
      <c r="D37" s="7" t="str">
        <f t="shared" si="1"/>
        <v/>
      </c>
      <c r="E37" s="11" t="str">
        <f t="shared" si="2"/>
        <v/>
      </c>
      <c r="F37" s="3">
        <f>IFERROR(Requirment[[#This Row],[Formula_Name]],"")</f>
        <v>0</v>
      </c>
      <c r="G37" s="7">
        <f t="shared" si="3"/>
        <v>36</v>
      </c>
      <c r="H37" s="7" t="str">
        <f>IF(COUNTIF($F$2:F37,F37)=1,ROW()-1,"")</f>
        <v/>
      </c>
      <c r="I37" s="2" t="str">
        <f t="shared" si="4"/>
        <v/>
      </c>
      <c r="J37" s="10" t="str">
        <f t="shared" si="5"/>
        <v/>
      </c>
    </row>
    <row r="38" spans="1:10" x14ac:dyDescent="0.25">
      <c r="A38" s="3" t="str">
        <f>IFERROR(Requirment[[#This Row],[Scenarios_reference]],"")</f>
        <v>__</v>
      </c>
      <c r="B38" s="7">
        <f t="shared" si="0"/>
        <v>37</v>
      </c>
      <c r="C38" s="7" t="str">
        <f>IF(COUNTIF($A$2:A38,A38)=1,ROW()-1,"")</f>
        <v/>
      </c>
      <c r="D38" s="7" t="str">
        <f t="shared" si="1"/>
        <v/>
      </c>
      <c r="E38" s="11" t="str">
        <f t="shared" si="2"/>
        <v/>
      </c>
      <c r="F38" s="3">
        <f>IFERROR(Requirment[[#This Row],[Formula_Name]],"")</f>
        <v>0</v>
      </c>
      <c r="G38" s="7">
        <f t="shared" si="3"/>
        <v>37</v>
      </c>
      <c r="H38" s="7" t="str">
        <f>IF(COUNTIF($F$2:F38,F38)=1,ROW()-1,"")</f>
        <v/>
      </c>
      <c r="I38" s="2" t="str">
        <f t="shared" si="4"/>
        <v/>
      </c>
      <c r="J38" s="10" t="str">
        <f t="shared" si="5"/>
        <v/>
      </c>
    </row>
    <row r="39" spans="1:10" x14ac:dyDescent="0.25">
      <c r="A39" s="3" t="str">
        <f>IFERROR(Requirment[[#This Row],[Scenarios_reference]],"")</f>
        <v>__</v>
      </c>
      <c r="B39" s="7">
        <f t="shared" si="0"/>
        <v>38</v>
      </c>
      <c r="C39" s="7" t="str">
        <f>IF(COUNTIF($A$2:A39,A39)=1,ROW()-1,"")</f>
        <v/>
      </c>
      <c r="D39" s="7" t="str">
        <f t="shared" si="1"/>
        <v/>
      </c>
      <c r="E39" s="11" t="str">
        <f t="shared" si="2"/>
        <v/>
      </c>
      <c r="F39" s="3">
        <f>IFERROR(Requirment[[#This Row],[Formula_Name]],"")</f>
        <v>0</v>
      </c>
      <c r="G39" s="7">
        <f t="shared" si="3"/>
        <v>38</v>
      </c>
      <c r="H39" s="7" t="str">
        <f>IF(COUNTIF($F$2:F39,F39)=1,ROW()-1,"")</f>
        <v/>
      </c>
      <c r="I39" s="2" t="str">
        <f t="shared" si="4"/>
        <v/>
      </c>
      <c r="J39" s="10" t="str">
        <f t="shared" si="5"/>
        <v/>
      </c>
    </row>
    <row r="40" spans="1:10" x14ac:dyDescent="0.25">
      <c r="A40" s="3" t="str">
        <f>IFERROR(Requirment[[#This Row],[Scenarios_reference]],"")</f>
        <v>__</v>
      </c>
      <c r="B40" s="7">
        <f t="shared" si="0"/>
        <v>39</v>
      </c>
      <c r="C40" s="7" t="str">
        <f>IF(COUNTIF($A$2:A40,A40)=1,ROW()-1,"")</f>
        <v/>
      </c>
      <c r="D40" s="7" t="str">
        <f t="shared" si="1"/>
        <v/>
      </c>
      <c r="E40" s="11" t="str">
        <f t="shared" si="2"/>
        <v/>
      </c>
      <c r="F40" s="3">
        <f>IFERROR(Requirment[[#This Row],[Formula_Name]],"")</f>
        <v>0</v>
      </c>
      <c r="G40" s="7">
        <f t="shared" si="3"/>
        <v>39</v>
      </c>
      <c r="H40" s="7" t="str">
        <f>IF(COUNTIF($F$2:F40,F40)=1,ROW()-1,"")</f>
        <v/>
      </c>
      <c r="I40" s="2" t="str">
        <f t="shared" si="4"/>
        <v/>
      </c>
      <c r="J40" s="10" t="str">
        <f t="shared" si="5"/>
        <v/>
      </c>
    </row>
    <row r="41" spans="1:10" x14ac:dyDescent="0.25">
      <c r="A41" s="3" t="str">
        <f>IFERROR(Requirment[[#This Row],[Scenarios_reference]],"")</f>
        <v>__</v>
      </c>
      <c r="B41" s="7">
        <f t="shared" si="0"/>
        <v>40</v>
      </c>
      <c r="C41" s="7" t="str">
        <f>IF(COUNTIF($A$2:A41,A41)=1,ROW()-1,"")</f>
        <v/>
      </c>
      <c r="D41" s="7" t="str">
        <f t="shared" si="1"/>
        <v/>
      </c>
      <c r="E41" s="11" t="str">
        <f t="shared" si="2"/>
        <v/>
      </c>
      <c r="F41" s="3">
        <f>IFERROR(Requirment[[#This Row],[Formula_Name]],"")</f>
        <v>0</v>
      </c>
      <c r="G41" s="7">
        <f t="shared" si="3"/>
        <v>40</v>
      </c>
      <c r="H41" s="7" t="str">
        <f>IF(COUNTIF($F$2:F41,F41)=1,ROW()-1,"")</f>
        <v/>
      </c>
      <c r="I41" s="2" t="str">
        <f t="shared" si="4"/>
        <v/>
      </c>
      <c r="J41" s="10" t="str">
        <f t="shared" si="5"/>
        <v/>
      </c>
    </row>
    <row r="42" spans="1:10" x14ac:dyDescent="0.25">
      <c r="A42" s="3" t="str">
        <f>IFERROR(Requirment[[#This Row],[Scenarios_reference]],"")</f>
        <v>__</v>
      </c>
      <c r="B42" s="7">
        <f t="shared" si="0"/>
        <v>41</v>
      </c>
      <c r="C42" s="7" t="str">
        <f>IF(COUNTIF($A$2:A42,A42)=1,ROW()-1,"")</f>
        <v/>
      </c>
      <c r="D42" s="7" t="str">
        <f t="shared" si="1"/>
        <v/>
      </c>
      <c r="E42" s="11" t="str">
        <f t="shared" si="2"/>
        <v/>
      </c>
      <c r="F42" s="3">
        <f>IFERROR(Requirment[[#This Row],[Formula_Name]],"")</f>
        <v>0</v>
      </c>
      <c r="G42" s="7">
        <f t="shared" si="3"/>
        <v>41</v>
      </c>
      <c r="H42" s="7" t="str">
        <f>IF(COUNTIF($F$2:F42,F42)=1,ROW()-1,"")</f>
        <v/>
      </c>
      <c r="I42" s="2" t="str">
        <f t="shared" si="4"/>
        <v/>
      </c>
      <c r="J42" s="10" t="str">
        <f t="shared" si="5"/>
        <v/>
      </c>
    </row>
    <row r="43" spans="1:10" x14ac:dyDescent="0.25">
      <c r="A43" s="3" t="str">
        <f>IFERROR(Requirment[[#This Row],[Scenarios_reference]],"")</f>
        <v>__</v>
      </c>
      <c r="B43" s="7">
        <f t="shared" si="0"/>
        <v>42</v>
      </c>
      <c r="C43" s="7" t="str">
        <f>IF(COUNTIF($A$2:A43,A43)=1,ROW()-1,"")</f>
        <v/>
      </c>
      <c r="D43" s="7" t="str">
        <f t="shared" si="1"/>
        <v/>
      </c>
      <c r="E43" s="11" t="str">
        <f t="shared" si="2"/>
        <v/>
      </c>
      <c r="F43" s="3">
        <f>IFERROR(Requirment[[#This Row],[Formula_Name]],"")</f>
        <v>0</v>
      </c>
      <c r="G43" s="7">
        <f t="shared" si="3"/>
        <v>42</v>
      </c>
      <c r="H43" s="7" t="str">
        <f>IF(COUNTIF($F$2:F43,F43)=1,ROW()-1,"")</f>
        <v/>
      </c>
      <c r="I43" s="2" t="str">
        <f t="shared" si="4"/>
        <v/>
      </c>
      <c r="J43" s="10" t="str">
        <f t="shared" si="5"/>
        <v/>
      </c>
    </row>
    <row r="44" spans="1:10" x14ac:dyDescent="0.25">
      <c r="A44" s="3" t="str">
        <f>IFERROR(Requirment[[#This Row],[Scenarios_reference]],"")</f>
        <v>__</v>
      </c>
      <c r="B44" s="7">
        <f t="shared" si="0"/>
        <v>43</v>
      </c>
      <c r="C44" s="7" t="str">
        <f>IF(COUNTIF($A$2:A44,A44)=1,ROW()-1,"")</f>
        <v/>
      </c>
      <c r="D44" s="7" t="str">
        <f t="shared" si="1"/>
        <v/>
      </c>
      <c r="E44" s="11" t="str">
        <f t="shared" si="2"/>
        <v/>
      </c>
      <c r="F44" s="3">
        <f>IFERROR(Requirment[[#This Row],[Formula_Name]],"")</f>
        <v>0</v>
      </c>
      <c r="G44" s="7">
        <f t="shared" si="3"/>
        <v>43</v>
      </c>
      <c r="H44" s="7" t="str">
        <f>IF(COUNTIF($F$2:F44,F44)=1,ROW()-1,"")</f>
        <v/>
      </c>
      <c r="I44" s="2" t="str">
        <f t="shared" si="4"/>
        <v/>
      </c>
      <c r="J44" s="10" t="str">
        <f t="shared" si="5"/>
        <v/>
      </c>
    </row>
    <row r="45" spans="1:10" x14ac:dyDescent="0.25">
      <c r="A45" s="3" t="str">
        <f>IFERROR(Requirment[[#This Row],[Scenarios_reference]],"")</f>
        <v>__</v>
      </c>
      <c r="B45" s="7">
        <f t="shared" si="0"/>
        <v>44</v>
      </c>
      <c r="C45" s="7" t="str">
        <f>IF(COUNTIF($A$2:A45,A45)=1,ROW()-1,"")</f>
        <v/>
      </c>
      <c r="D45" s="7" t="str">
        <f t="shared" si="1"/>
        <v/>
      </c>
      <c r="E45" s="11" t="str">
        <f t="shared" si="2"/>
        <v/>
      </c>
      <c r="F45" s="3">
        <f>IFERROR(Requirment[[#This Row],[Formula_Name]],"")</f>
        <v>0</v>
      </c>
      <c r="G45" s="7">
        <f t="shared" si="3"/>
        <v>44</v>
      </c>
      <c r="H45" s="7" t="str">
        <f>IF(COUNTIF($F$2:F45,F45)=1,ROW()-1,"")</f>
        <v/>
      </c>
      <c r="I45" s="2" t="str">
        <f t="shared" si="4"/>
        <v/>
      </c>
      <c r="J45" s="10" t="str">
        <f t="shared" si="5"/>
        <v/>
      </c>
    </row>
    <row r="46" spans="1:10" x14ac:dyDescent="0.25">
      <c r="A46" s="3" t="str">
        <f>IFERROR(Requirment[[#This Row],[Scenarios_reference]],"")</f>
        <v>__</v>
      </c>
      <c r="B46" s="7">
        <f t="shared" si="0"/>
        <v>45</v>
      </c>
      <c r="C46" s="7" t="str">
        <f>IF(COUNTIF($A$2:A46,A46)=1,ROW()-1,"")</f>
        <v/>
      </c>
      <c r="D46" s="7" t="str">
        <f t="shared" si="1"/>
        <v/>
      </c>
      <c r="E46" s="11" t="str">
        <f t="shared" si="2"/>
        <v/>
      </c>
      <c r="F46" s="3">
        <f>IFERROR(Requirment[[#This Row],[Formula_Name]],"")</f>
        <v>0</v>
      </c>
      <c r="G46" s="7">
        <f t="shared" si="3"/>
        <v>45</v>
      </c>
      <c r="H46" s="7" t="str">
        <f>IF(COUNTIF($F$2:F46,F46)=1,ROW()-1,"")</f>
        <v/>
      </c>
      <c r="I46" s="2" t="str">
        <f t="shared" si="4"/>
        <v/>
      </c>
      <c r="J46" s="10" t="str">
        <f t="shared" si="5"/>
        <v/>
      </c>
    </row>
    <row r="47" spans="1:10" x14ac:dyDescent="0.25">
      <c r="A47" s="3" t="str">
        <f>IFERROR(Requirment[[#This Row],[Scenarios_reference]],"")</f>
        <v>__</v>
      </c>
      <c r="B47" s="7">
        <f t="shared" si="0"/>
        <v>46</v>
      </c>
      <c r="C47" s="7" t="str">
        <f>IF(COUNTIF($A$2:A47,A47)=1,ROW()-1,"")</f>
        <v/>
      </c>
      <c r="D47" s="7" t="str">
        <f t="shared" si="1"/>
        <v/>
      </c>
      <c r="E47" s="11" t="str">
        <f t="shared" si="2"/>
        <v/>
      </c>
      <c r="F47" s="3">
        <f>IFERROR(Requirment[[#This Row],[Formula_Name]],"")</f>
        <v>0</v>
      </c>
      <c r="G47" s="7">
        <f t="shared" si="3"/>
        <v>46</v>
      </c>
      <c r="H47" s="7" t="str">
        <f>IF(COUNTIF($F$2:F47,F47)=1,ROW()-1,"")</f>
        <v/>
      </c>
      <c r="I47" s="2" t="str">
        <f t="shared" si="4"/>
        <v/>
      </c>
      <c r="J47" s="10" t="str">
        <f t="shared" si="5"/>
        <v/>
      </c>
    </row>
    <row r="48" spans="1:10" x14ac:dyDescent="0.25">
      <c r="A48" s="3" t="str">
        <f>IFERROR(Requirment[[#This Row],[Scenarios_reference]],"")</f>
        <v>__</v>
      </c>
      <c r="B48" s="7">
        <f t="shared" si="0"/>
        <v>47</v>
      </c>
      <c r="C48" s="7" t="str">
        <f>IF(COUNTIF($A$2:A48,A48)=1,ROW()-1,"")</f>
        <v/>
      </c>
      <c r="D48" s="7" t="str">
        <f t="shared" si="1"/>
        <v/>
      </c>
      <c r="E48" s="11" t="str">
        <f t="shared" si="2"/>
        <v/>
      </c>
      <c r="F48" s="3">
        <f>IFERROR(Requirment[[#This Row],[Formula_Name]],"")</f>
        <v>0</v>
      </c>
      <c r="G48" s="7">
        <f t="shared" si="3"/>
        <v>47</v>
      </c>
      <c r="H48" s="7" t="str">
        <f>IF(COUNTIF($F$2:F48,F48)=1,ROW()-1,"")</f>
        <v/>
      </c>
      <c r="I48" s="2" t="str">
        <f t="shared" si="4"/>
        <v/>
      </c>
      <c r="J48" s="10" t="str">
        <f t="shared" si="5"/>
        <v/>
      </c>
    </row>
    <row r="49" spans="1:10" x14ac:dyDescent="0.25">
      <c r="A49" s="3" t="str">
        <f>IFERROR(Requirment[[#This Row],[Scenarios_reference]],"")</f>
        <v>__</v>
      </c>
      <c r="B49" s="7">
        <f t="shared" si="0"/>
        <v>48</v>
      </c>
      <c r="C49" s="7" t="str">
        <f>IF(COUNTIF($A$2:A49,A49)=1,ROW()-1,"")</f>
        <v/>
      </c>
      <c r="D49" s="7" t="str">
        <f t="shared" si="1"/>
        <v/>
      </c>
      <c r="E49" s="11" t="str">
        <f t="shared" si="2"/>
        <v/>
      </c>
      <c r="F49" s="3">
        <f>IFERROR(Requirment[[#This Row],[Formula_Name]],"")</f>
        <v>0</v>
      </c>
      <c r="G49" s="7">
        <f t="shared" si="3"/>
        <v>48</v>
      </c>
      <c r="H49" s="7" t="str">
        <f>IF(COUNTIF($F$2:F49,F49)=1,ROW()-1,"")</f>
        <v/>
      </c>
      <c r="I49" s="2" t="str">
        <f t="shared" si="4"/>
        <v/>
      </c>
      <c r="J49" s="10" t="str">
        <f t="shared" si="5"/>
        <v/>
      </c>
    </row>
    <row r="50" spans="1:10" x14ac:dyDescent="0.25">
      <c r="A50" s="3" t="str">
        <f>IFERROR(Requirment[[#This Row],[Scenarios_reference]],"")</f>
        <v>__</v>
      </c>
      <c r="B50" s="7">
        <f t="shared" si="0"/>
        <v>49</v>
      </c>
      <c r="C50" s="7" t="str">
        <f>IF(COUNTIF($A$2:A50,A50)=1,ROW()-1,"")</f>
        <v/>
      </c>
      <c r="D50" s="7" t="str">
        <f t="shared" si="1"/>
        <v/>
      </c>
      <c r="E50" s="11" t="str">
        <f t="shared" si="2"/>
        <v/>
      </c>
      <c r="F50" s="3">
        <f>IFERROR(Requirment[[#This Row],[Formula_Name]],"")</f>
        <v>0</v>
      </c>
      <c r="G50" s="7">
        <f t="shared" si="3"/>
        <v>49</v>
      </c>
      <c r="H50" s="7" t="str">
        <f>IF(COUNTIF($F$2:F50,F50)=1,ROW()-1,"")</f>
        <v/>
      </c>
      <c r="I50" s="2" t="str">
        <f t="shared" si="4"/>
        <v/>
      </c>
      <c r="J50" s="10" t="str">
        <f t="shared" si="5"/>
        <v/>
      </c>
    </row>
    <row r="51" spans="1:10" x14ac:dyDescent="0.25">
      <c r="A51" s="3" t="str">
        <f>IFERROR(Requirment[[#This Row],[Scenarios_reference]],"")</f>
        <v>__</v>
      </c>
      <c r="B51" s="7">
        <f t="shared" si="0"/>
        <v>50</v>
      </c>
      <c r="C51" s="7" t="str">
        <f>IF(COUNTIF($A$2:A51,A51)=1,ROW()-1,"")</f>
        <v/>
      </c>
      <c r="D51" s="7" t="str">
        <f t="shared" si="1"/>
        <v/>
      </c>
      <c r="E51" s="11" t="str">
        <f t="shared" si="2"/>
        <v/>
      </c>
      <c r="F51" s="3">
        <f>IFERROR(Requirment[[#This Row],[Formula_Name]],"")</f>
        <v>0</v>
      </c>
      <c r="G51" s="7">
        <f t="shared" si="3"/>
        <v>50</v>
      </c>
      <c r="H51" s="7" t="str">
        <f>IF(COUNTIF($F$2:F51,F51)=1,ROW()-1,"")</f>
        <v/>
      </c>
      <c r="I51" s="2" t="str">
        <f t="shared" si="4"/>
        <v/>
      </c>
      <c r="J51" s="10" t="str">
        <f t="shared" si="5"/>
        <v/>
      </c>
    </row>
    <row r="52" spans="1:10" x14ac:dyDescent="0.25">
      <c r="A52" s="3" t="str">
        <f>IFERROR(Requirment[[#This Row],[Scenarios_reference]],"")</f>
        <v>__</v>
      </c>
      <c r="B52" s="7">
        <f t="shared" si="0"/>
        <v>51</v>
      </c>
      <c r="C52" s="7" t="str">
        <f>IF(COUNTIF($A$2:A52,A52)=1,ROW()-1,"")</f>
        <v/>
      </c>
      <c r="D52" s="7" t="str">
        <f t="shared" si="1"/>
        <v/>
      </c>
      <c r="E52" s="11" t="str">
        <f t="shared" si="2"/>
        <v/>
      </c>
      <c r="F52" s="3">
        <f>IFERROR(Requirment[[#This Row],[Formula_Name]],"")</f>
        <v>0</v>
      </c>
      <c r="G52" s="7">
        <f t="shared" si="3"/>
        <v>51</v>
      </c>
      <c r="H52" s="7" t="str">
        <f>IF(COUNTIF($F$2:F52,F52)=1,ROW()-1,"")</f>
        <v/>
      </c>
      <c r="I52" s="2" t="str">
        <f t="shared" si="4"/>
        <v/>
      </c>
      <c r="J52" s="10" t="str">
        <f t="shared" si="5"/>
        <v/>
      </c>
    </row>
    <row r="53" spans="1:10" x14ac:dyDescent="0.25">
      <c r="A53" s="3" t="str">
        <f>IFERROR(Requirment[[#This Row],[Scenarios_reference]],"")</f>
        <v>__</v>
      </c>
      <c r="B53" s="7">
        <f t="shared" si="0"/>
        <v>52</v>
      </c>
      <c r="C53" s="7" t="str">
        <f>IF(COUNTIF($A$2:A53,A53)=1,ROW()-1,"")</f>
        <v/>
      </c>
      <c r="D53" s="7" t="str">
        <f t="shared" si="1"/>
        <v/>
      </c>
      <c r="E53" s="11" t="str">
        <f t="shared" si="2"/>
        <v/>
      </c>
      <c r="F53" s="3">
        <f>IFERROR(Requirment[[#This Row],[Formula_Name]],"")</f>
        <v>0</v>
      </c>
      <c r="G53" s="7">
        <f t="shared" si="3"/>
        <v>52</v>
      </c>
      <c r="H53" s="7" t="str">
        <f>IF(COUNTIF($F$2:F53,F53)=1,ROW()-1,"")</f>
        <v/>
      </c>
      <c r="I53" s="2" t="str">
        <f t="shared" si="4"/>
        <v/>
      </c>
      <c r="J53" s="10" t="str">
        <f t="shared" si="5"/>
        <v/>
      </c>
    </row>
    <row r="54" spans="1:10" x14ac:dyDescent="0.25">
      <c r="A54" s="3" t="str">
        <f>IFERROR(Requirment[[#This Row],[Scenarios_reference]],"")</f>
        <v>__</v>
      </c>
      <c r="B54" s="7">
        <f t="shared" si="0"/>
        <v>53</v>
      </c>
      <c r="C54" s="7" t="str">
        <f>IF(COUNTIF($A$2:A54,A54)=1,ROW()-1,"")</f>
        <v/>
      </c>
      <c r="D54" s="7" t="str">
        <f t="shared" si="1"/>
        <v/>
      </c>
      <c r="E54" s="11" t="str">
        <f t="shared" si="2"/>
        <v/>
      </c>
      <c r="F54" s="3">
        <f>IFERROR(Requirment[[#This Row],[Formula_Name]],"")</f>
        <v>0</v>
      </c>
      <c r="G54" s="7">
        <f t="shared" si="3"/>
        <v>53</v>
      </c>
      <c r="H54" s="7" t="str">
        <f>IF(COUNTIF($F$2:F54,F54)=1,ROW()-1,"")</f>
        <v/>
      </c>
      <c r="I54" s="2" t="str">
        <f t="shared" si="4"/>
        <v/>
      </c>
      <c r="J54" s="10" t="str">
        <f t="shared" si="5"/>
        <v/>
      </c>
    </row>
    <row r="55" spans="1:10" x14ac:dyDescent="0.25">
      <c r="A55" s="3" t="str">
        <f>IFERROR(Requirment[[#This Row],[Scenarios_reference]],"")</f>
        <v>__</v>
      </c>
      <c r="B55" s="7">
        <f t="shared" si="0"/>
        <v>54</v>
      </c>
      <c r="C55" s="7" t="str">
        <f>IF(COUNTIF($A$2:A55,A55)=1,ROW()-1,"")</f>
        <v/>
      </c>
      <c r="D55" s="7" t="str">
        <f t="shared" si="1"/>
        <v/>
      </c>
      <c r="E55" s="11" t="str">
        <f t="shared" si="2"/>
        <v/>
      </c>
      <c r="F55" s="3">
        <f>IFERROR(Requirment[[#This Row],[Formula_Name]],"")</f>
        <v>0</v>
      </c>
      <c r="G55" s="7">
        <f t="shared" si="3"/>
        <v>54</v>
      </c>
      <c r="H55" s="7" t="str">
        <f>IF(COUNTIF($F$2:F55,F55)=1,ROW()-1,"")</f>
        <v/>
      </c>
      <c r="I55" s="2" t="str">
        <f t="shared" si="4"/>
        <v/>
      </c>
      <c r="J55" s="10" t="str">
        <f t="shared" si="5"/>
        <v/>
      </c>
    </row>
    <row r="56" spans="1:10" x14ac:dyDescent="0.25">
      <c r="A56" s="3" t="str">
        <f>IFERROR(Requirment[[#This Row],[Scenarios_reference]],"")</f>
        <v>__</v>
      </c>
      <c r="B56" s="7">
        <f t="shared" si="0"/>
        <v>55</v>
      </c>
      <c r="C56" s="7" t="str">
        <f>IF(COUNTIF($A$2:A56,A56)=1,ROW()-1,"")</f>
        <v/>
      </c>
      <c r="D56" s="7" t="str">
        <f t="shared" si="1"/>
        <v/>
      </c>
      <c r="E56" s="11" t="str">
        <f t="shared" si="2"/>
        <v/>
      </c>
      <c r="F56" s="3">
        <f>IFERROR(Requirment[[#This Row],[Formula_Name]],"")</f>
        <v>0</v>
      </c>
      <c r="G56" s="7">
        <f t="shared" si="3"/>
        <v>55</v>
      </c>
      <c r="H56" s="7" t="str">
        <f>IF(COUNTIF($F$2:F56,F56)=1,ROW()-1,"")</f>
        <v/>
      </c>
      <c r="I56" s="2" t="str">
        <f t="shared" si="4"/>
        <v/>
      </c>
      <c r="J56" s="10" t="str">
        <f t="shared" si="5"/>
        <v/>
      </c>
    </row>
    <row r="57" spans="1:10" x14ac:dyDescent="0.25">
      <c r="A57" s="3" t="str">
        <f>IFERROR(Requirment[[#This Row],[Scenarios_reference]],"")</f>
        <v>__</v>
      </c>
      <c r="B57" s="7">
        <f t="shared" si="0"/>
        <v>56</v>
      </c>
      <c r="C57" s="7" t="str">
        <f>IF(COUNTIF($A$2:A57,A57)=1,ROW()-1,"")</f>
        <v/>
      </c>
      <c r="D57" s="7" t="str">
        <f t="shared" si="1"/>
        <v/>
      </c>
      <c r="E57" s="11" t="str">
        <f t="shared" si="2"/>
        <v/>
      </c>
      <c r="F57" s="3">
        <f>IFERROR(Requirment[[#This Row],[Formula_Name]],"")</f>
        <v>0</v>
      </c>
      <c r="G57" s="7">
        <f t="shared" si="3"/>
        <v>56</v>
      </c>
      <c r="H57" s="7" t="str">
        <f>IF(COUNTIF($F$2:F57,F57)=1,ROW()-1,"")</f>
        <v/>
      </c>
      <c r="I57" s="2" t="str">
        <f t="shared" si="4"/>
        <v/>
      </c>
      <c r="J57" s="10" t="str">
        <f t="shared" si="5"/>
        <v/>
      </c>
    </row>
    <row r="58" spans="1:10" x14ac:dyDescent="0.25">
      <c r="A58" s="3" t="str">
        <f>IFERROR(Requirment[[#This Row],[Scenarios_reference]],"")</f>
        <v>__</v>
      </c>
      <c r="B58" s="7">
        <f t="shared" si="0"/>
        <v>57</v>
      </c>
      <c r="C58" s="7" t="str">
        <f>IF(COUNTIF($A$2:A58,A58)=1,ROW()-1,"")</f>
        <v/>
      </c>
      <c r="D58" s="7" t="str">
        <f t="shared" si="1"/>
        <v/>
      </c>
      <c r="E58" s="11" t="str">
        <f t="shared" si="2"/>
        <v/>
      </c>
      <c r="F58" s="3">
        <f>IFERROR(Requirment[[#This Row],[Formula_Name]],"")</f>
        <v>0</v>
      </c>
      <c r="G58" s="7">
        <f t="shared" si="3"/>
        <v>57</v>
      </c>
      <c r="H58" s="7" t="str">
        <f>IF(COUNTIF($F$2:F58,F58)=1,ROW()-1,"")</f>
        <v/>
      </c>
      <c r="I58" s="2" t="str">
        <f t="shared" si="4"/>
        <v/>
      </c>
      <c r="J58" s="10" t="str">
        <f t="shared" si="5"/>
        <v/>
      </c>
    </row>
    <row r="59" spans="1:10" x14ac:dyDescent="0.25">
      <c r="A59" s="3" t="str">
        <f>IFERROR(Requirment[[#This Row],[Scenarios_reference]],"")</f>
        <v>__</v>
      </c>
      <c r="B59" s="7">
        <f t="shared" si="0"/>
        <v>58</v>
      </c>
      <c r="C59" s="7" t="str">
        <f>IF(COUNTIF($A$2:A59,A59)=1,ROW()-1,"")</f>
        <v/>
      </c>
      <c r="D59" s="7" t="str">
        <f t="shared" si="1"/>
        <v/>
      </c>
      <c r="E59" s="11" t="str">
        <f t="shared" si="2"/>
        <v/>
      </c>
      <c r="F59" s="3">
        <f>IFERROR(Requirment[[#This Row],[Formula_Name]],"")</f>
        <v>0</v>
      </c>
      <c r="G59" s="7">
        <f t="shared" si="3"/>
        <v>58</v>
      </c>
      <c r="H59" s="7" t="str">
        <f>IF(COUNTIF($F$2:F59,F59)=1,ROW()-1,"")</f>
        <v/>
      </c>
      <c r="I59" s="2" t="str">
        <f t="shared" si="4"/>
        <v/>
      </c>
      <c r="J59" s="10" t="str">
        <f t="shared" si="5"/>
        <v/>
      </c>
    </row>
    <row r="60" spans="1:10" x14ac:dyDescent="0.25">
      <c r="A60" s="3" t="str">
        <f>IFERROR(Requirment[[#This Row],[Scenarios_reference]],"")</f>
        <v>__</v>
      </c>
      <c r="B60" s="7">
        <f t="shared" si="0"/>
        <v>59</v>
      </c>
      <c r="C60" s="7" t="str">
        <f>IF(COUNTIF($A$2:A60,A60)=1,ROW()-1,"")</f>
        <v/>
      </c>
      <c r="D60" s="7" t="str">
        <f t="shared" si="1"/>
        <v/>
      </c>
      <c r="E60" s="11" t="str">
        <f t="shared" si="2"/>
        <v/>
      </c>
      <c r="F60" s="3">
        <f>IFERROR(Requirment[[#This Row],[Formula_Name]],"")</f>
        <v>0</v>
      </c>
      <c r="G60" s="7">
        <f t="shared" si="3"/>
        <v>59</v>
      </c>
      <c r="H60" s="7" t="str">
        <f>IF(COUNTIF($F$2:F60,F60)=1,ROW()-1,"")</f>
        <v/>
      </c>
      <c r="I60" s="2" t="str">
        <f t="shared" si="4"/>
        <v/>
      </c>
      <c r="J60" s="10" t="str">
        <f t="shared" si="5"/>
        <v/>
      </c>
    </row>
    <row r="61" spans="1:10" x14ac:dyDescent="0.25">
      <c r="A61" s="3" t="str">
        <f>IFERROR(Requirment[[#This Row],[Scenarios_reference]],"")</f>
        <v>__</v>
      </c>
      <c r="B61" s="7">
        <f t="shared" si="0"/>
        <v>60</v>
      </c>
      <c r="C61" s="7" t="str">
        <f>IF(COUNTIF($A$2:A61,A61)=1,ROW()-1,"")</f>
        <v/>
      </c>
      <c r="D61" s="7" t="str">
        <f t="shared" si="1"/>
        <v/>
      </c>
      <c r="E61" s="11" t="str">
        <f t="shared" si="2"/>
        <v/>
      </c>
      <c r="F61" s="3">
        <f>IFERROR(Requirment[[#This Row],[Formula_Name]],"")</f>
        <v>0</v>
      </c>
      <c r="G61" s="7">
        <f t="shared" si="3"/>
        <v>60</v>
      </c>
      <c r="H61" s="7" t="str">
        <f>IF(COUNTIF($F$2:F61,F61)=1,ROW()-1,"")</f>
        <v/>
      </c>
      <c r="I61" s="2" t="str">
        <f t="shared" si="4"/>
        <v/>
      </c>
      <c r="J61" s="10" t="str">
        <f t="shared" si="5"/>
        <v/>
      </c>
    </row>
    <row r="62" spans="1:10" x14ac:dyDescent="0.25">
      <c r="A62" s="3" t="str">
        <f>IFERROR(Requirment[[#This Row],[Scenarios_reference]],"")</f>
        <v>__</v>
      </c>
      <c r="B62" s="7">
        <f t="shared" si="0"/>
        <v>61</v>
      </c>
      <c r="C62" s="7" t="str">
        <f>IF(COUNTIF($A$2:A62,A62)=1,ROW()-1,"")</f>
        <v/>
      </c>
      <c r="D62" s="7" t="str">
        <f t="shared" si="1"/>
        <v/>
      </c>
      <c r="E62" s="11" t="str">
        <f t="shared" si="2"/>
        <v/>
      </c>
      <c r="F62" s="3">
        <f>IFERROR(Requirment[[#This Row],[Formula_Name]],"")</f>
        <v>0</v>
      </c>
      <c r="G62" s="7">
        <f t="shared" si="3"/>
        <v>61</v>
      </c>
      <c r="H62" s="7" t="str">
        <f>IF(COUNTIF($F$2:F62,F62)=1,ROW()-1,"")</f>
        <v/>
      </c>
      <c r="I62" s="2" t="str">
        <f t="shared" si="4"/>
        <v/>
      </c>
      <c r="J62" s="10" t="str">
        <f t="shared" si="5"/>
        <v/>
      </c>
    </row>
    <row r="63" spans="1:10" x14ac:dyDescent="0.25">
      <c r="A63" s="3" t="str">
        <f>IFERROR(Requirment[[#This Row],[Scenarios_reference]],"")</f>
        <v>__</v>
      </c>
      <c r="B63" s="7">
        <f t="shared" si="0"/>
        <v>62</v>
      </c>
      <c r="C63" s="7" t="str">
        <f>IF(COUNTIF($A$2:A63,A63)=1,ROW()-1,"")</f>
        <v/>
      </c>
      <c r="D63" s="7" t="str">
        <f t="shared" si="1"/>
        <v/>
      </c>
      <c r="E63" s="11" t="str">
        <f t="shared" si="2"/>
        <v/>
      </c>
      <c r="F63" s="3">
        <f>IFERROR(Requirment[[#This Row],[Formula_Name]],"")</f>
        <v>0</v>
      </c>
      <c r="G63" s="7">
        <f t="shared" si="3"/>
        <v>62</v>
      </c>
      <c r="H63" s="7" t="str">
        <f>IF(COUNTIF($F$2:F63,F63)=1,ROW()-1,"")</f>
        <v/>
      </c>
      <c r="I63" s="2" t="str">
        <f t="shared" si="4"/>
        <v/>
      </c>
      <c r="J63" s="10" t="str">
        <f t="shared" si="5"/>
        <v/>
      </c>
    </row>
    <row r="64" spans="1:10" x14ac:dyDescent="0.25">
      <c r="A64" s="3" t="str">
        <f>IFERROR(Requirment[[#This Row],[Scenarios_reference]],"")</f>
        <v>__</v>
      </c>
      <c r="B64" s="7">
        <f t="shared" si="0"/>
        <v>63</v>
      </c>
      <c r="C64" s="7" t="str">
        <f>IF(COUNTIF($A$2:A64,A64)=1,ROW()-1,"")</f>
        <v/>
      </c>
      <c r="D64" s="7" t="str">
        <f t="shared" si="1"/>
        <v/>
      </c>
      <c r="E64" s="11" t="str">
        <f t="shared" si="2"/>
        <v/>
      </c>
      <c r="F64" s="3">
        <f>IFERROR(Requirment[[#This Row],[Formula_Name]],"")</f>
        <v>0</v>
      </c>
      <c r="G64" s="7">
        <f t="shared" si="3"/>
        <v>63</v>
      </c>
      <c r="H64" s="7" t="str">
        <f>IF(COUNTIF($F$2:F64,F64)=1,ROW()-1,"")</f>
        <v/>
      </c>
      <c r="I64" s="2" t="str">
        <f t="shared" si="4"/>
        <v/>
      </c>
      <c r="J64" s="10" t="str">
        <f t="shared" si="5"/>
        <v/>
      </c>
    </row>
    <row r="65" spans="1:10" x14ac:dyDescent="0.25">
      <c r="A65" s="3" t="str">
        <f>IFERROR(Requirment[[#This Row],[Scenarios_reference]],"")</f>
        <v>__</v>
      </c>
      <c r="B65" s="7">
        <f t="shared" si="0"/>
        <v>64</v>
      </c>
      <c r="C65" s="7" t="str">
        <f>IF(COUNTIF($A$2:A65,A65)=1,ROW()-1,"")</f>
        <v/>
      </c>
      <c r="D65" s="7" t="str">
        <f t="shared" si="1"/>
        <v/>
      </c>
      <c r="E65" s="11" t="str">
        <f t="shared" si="2"/>
        <v/>
      </c>
      <c r="F65" s="3">
        <f>IFERROR(Requirment[[#This Row],[Formula_Name]],"")</f>
        <v>0</v>
      </c>
      <c r="G65" s="7">
        <f t="shared" si="3"/>
        <v>64</v>
      </c>
      <c r="H65" s="7" t="str">
        <f>IF(COUNTIF($F$2:F65,F65)=1,ROW()-1,"")</f>
        <v/>
      </c>
      <c r="I65" s="2" t="str">
        <f t="shared" si="4"/>
        <v/>
      </c>
      <c r="J65" s="10" t="str">
        <f t="shared" si="5"/>
        <v/>
      </c>
    </row>
    <row r="66" spans="1:10" x14ac:dyDescent="0.25">
      <c r="A66" s="3" t="str">
        <f>IFERROR(Requirment[[#This Row],[Scenarios_reference]],"")</f>
        <v>__</v>
      </c>
      <c r="B66" s="7">
        <f t="shared" si="0"/>
        <v>65</v>
      </c>
      <c r="C66" s="7" t="str">
        <f>IF(COUNTIF($A$2:A66,A66)=1,ROW()-1,"")</f>
        <v/>
      </c>
      <c r="D66" s="7" t="str">
        <f t="shared" si="1"/>
        <v/>
      </c>
      <c r="E66" s="11" t="str">
        <f t="shared" si="2"/>
        <v/>
      </c>
      <c r="F66" s="3">
        <f>IFERROR(Requirment[[#This Row],[Formula_Name]],"")</f>
        <v>0</v>
      </c>
      <c r="G66" s="7">
        <f t="shared" si="3"/>
        <v>65</v>
      </c>
      <c r="H66" s="7" t="str">
        <f>IF(COUNTIF($F$2:F66,F66)=1,ROW()-1,"")</f>
        <v/>
      </c>
      <c r="I66" s="2" t="str">
        <f t="shared" si="4"/>
        <v/>
      </c>
      <c r="J66" s="10" t="str">
        <f t="shared" si="5"/>
        <v/>
      </c>
    </row>
    <row r="67" spans="1:10" x14ac:dyDescent="0.25">
      <c r="A67" s="3" t="str">
        <f>IFERROR(Requirment[[#This Row],[Scenarios_reference]],"")</f>
        <v>__</v>
      </c>
      <c r="B67" s="7">
        <f t="shared" ref="B67:B100" si="6">ROW()-1</f>
        <v>66</v>
      </c>
      <c r="C67" s="7" t="str">
        <f>IF(COUNTIF($A$2:A67,A67)=1,ROW()-1,"")</f>
        <v/>
      </c>
      <c r="D67" s="7" t="str">
        <f t="shared" ref="D67:D100" si="7">IFERROR(SMALL(C:C,B67),"")</f>
        <v/>
      </c>
      <c r="E67" s="11" t="str">
        <f t="shared" ref="E67:E100" si="8">IFERROR(INDEX($A$2:$A$99,D67),"")</f>
        <v/>
      </c>
      <c r="F67" s="3">
        <f>IFERROR(Requirment[[#This Row],[Formula_Name]],"")</f>
        <v>0</v>
      </c>
      <c r="G67" s="7">
        <f t="shared" ref="G67:G100" si="9">ROW()-1</f>
        <v>66</v>
      </c>
      <c r="H67" s="7" t="str">
        <f>IF(COUNTIF($F$2:F67,F67)=1,ROW()-1,"")</f>
        <v/>
      </c>
      <c r="I67" s="2" t="str">
        <f t="shared" ref="I67:I100" si="10">IFERROR(SMALL(H:H,G67),"")</f>
        <v/>
      </c>
      <c r="J67" s="10" t="str">
        <f t="shared" ref="J67:J100" si="11">IFERROR(INDEX($F$2:$F$99,I67),"")</f>
        <v/>
      </c>
    </row>
    <row r="68" spans="1:10" x14ac:dyDescent="0.25">
      <c r="A68" s="3" t="str">
        <f>IFERROR(Requirment[[#This Row],[Scenarios_reference]],"")</f>
        <v>__</v>
      </c>
      <c r="B68" s="7">
        <f t="shared" si="6"/>
        <v>67</v>
      </c>
      <c r="C68" s="7" t="str">
        <f>IF(COUNTIF($A$2:A68,A68)=1,ROW()-1,"")</f>
        <v/>
      </c>
      <c r="D68" s="7" t="str">
        <f t="shared" si="7"/>
        <v/>
      </c>
      <c r="E68" s="11" t="str">
        <f t="shared" si="8"/>
        <v/>
      </c>
      <c r="F68" s="3">
        <f>IFERROR(Requirment[[#This Row],[Formula_Name]],"")</f>
        <v>0</v>
      </c>
      <c r="G68" s="7">
        <f t="shared" si="9"/>
        <v>67</v>
      </c>
      <c r="H68" s="7" t="str">
        <f>IF(COUNTIF($F$2:F68,F68)=1,ROW()-1,"")</f>
        <v/>
      </c>
      <c r="I68" s="2" t="str">
        <f t="shared" si="10"/>
        <v/>
      </c>
      <c r="J68" s="10" t="str">
        <f t="shared" si="11"/>
        <v/>
      </c>
    </row>
    <row r="69" spans="1:10" x14ac:dyDescent="0.25">
      <c r="A69" s="3" t="str">
        <f>IFERROR(Requirment[[#This Row],[Scenarios_reference]],"")</f>
        <v>__</v>
      </c>
      <c r="B69" s="7">
        <f t="shared" si="6"/>
        <v>68</v>
      </c>
      <c r="C69" s="7" t="str">
        <f>IF(COUNTIF($A$2:A69,A69)=1,ROW()-1,"")</f>
        <v/>
      </c>
      <c r="D69" s="7" t="str">
        <f t="shared" si="7"/>
        <v/>
      </c>
      <c r="E69" s="11" t="str">
        <f t="shared" si="8"/>
        <v/>
      </c>
      <c r="F69" s="3">
        <f>IFERROR(Requirment[[#This Row],[Formula_Name]],"")</f>
        <v>0</v>
      </c>
      <c r="G69" s="7">
        <f t="shared" si="9"/>
        <v>68</v>
      </c>
      <c r="H69" s="7" t="str">
        <f>IF(COUNTIF($F$2:F69,F69)=1,ROW()-1,"")</f>
        <v/>
      </c>
      <c r="I69" s="2" t="str">
        <f t="shared" si="10"/>
        <v/>
      </c>
      <c r="J69" s="10" t="str">
        <f t="shared" si="11"/>
        <v/>
      </c>
    </row>
    <row r="70" spans="1:10" x14ac:dyDescent="0.25">
      <c r="A70" s="3" t="str">
        <f>IFERROR(Requirment[[#This Row],[Scenarios_reference]],"")</f>
        <v>__</v>
      </c>
      <c r="B70" s="7">
        <f t="shared" si="6"/>
        <v>69</v>
      </c>
      <c r="C70" s="7" t="str">
        <f>IF(COUNTIF($A$2:A70,A70)=1,ROW()-1,"")</f>
        <v/>
      </c>
      <c r="D70" s="7" t="str">
        <f t="shared" si="7"/>
        <v/>
      </c>
      <c r="E70" s="11" t="str">
        <f t="shared" si="8"/>
        <v/>
      </c>
      <c r="F70" s="3">
        <f>IFERROR(Requirment[[#This Row],[Formula_Name]],"")</f>
        <v>0</v>
      </c>
      <c r="G70" s="7">
        <f t="shared" si="9"/>
        <v>69</v>
      </c>
      <c r="H70" s="7" t="str">
        <f>IF(COUNTIF($F$2:F70,F70)=1,ROW()-1,"")</f>
        <v/>
      </c>
      <c r="I70" s="2" t="str">
        <f t="shared" si="10"/>
        <v/>
      </c>
      <c r="J70" s="10" t="str">
        <f t="shared" si="11"/>
        <v/>
      </c>
    </row>
    <row r="71" spans="1:10" x14ac:dyDescent="0.25">
      <c r="A71" s="3" t="str">
        <f>IFERROR(Requirment[[#This Row],[Scenarios_reference]],"")</f>
        <v>__</v>
      </c>
      <c r="B71" s="7">
        <f t="shared" si="6"/>
        <v>70</v>
      </c>
      <c r="C71" s="7" t="str">
        <f>IF(COUNTIF($A$2:A71,A71)=1,ROW()-1,"")</f>
        <v/>
      </c>
      <c r="D71" s="7" t="str">
        <f t="shared" si="7"/>
        <v/>
      </c>
      <c r="E71" s="11" t="str">
        <f t="shared" si="8"/>
        <v/>
      </c>
      <c r="F71" s="3">
        <f>IFERROR(Requirment[[#This Row],[Formula_Name]],"")</f>
        <v>0</v>
      </c>
      <c r="G71" s="7">
        <f t="shared" si="9"/>
        <v>70</v>
      </c>
      <c r="H71" s="7" t="str">
        <f>IF(COUNTIF($F$2:F71,F71)=1,ROW()-1,"")</f>
        <v/>
      </c>
      <c r="I71" s="2" t="str">
        <f t="shared" si="10"/>
        <v/>
      </c>
      <c r="J71" s="10" t="str">
        <f t="shared" si="11"/>
        <v/>
      </c>
    </row>
    <row r="72" spans="1:10" x14ac:dyDescent="0.25">
      <c r="A72" s="3" t="str">
        <f>IFERROR(Requirment[[#This Row],[Scenarios_reference]],"")</f>
        <v>__</v>
      </c>
      <c r="B72" s="7">
        <f t="shared" si="6"/>
        <v>71</v>
      </c>
      <c r="C72" s="7" t="str">
        <f>IF(COUNTIF($A$2:A72,A72)=1,ROW()-1,"")</f>
        <v/>
      </c>
      <c r="D72" s="7" t="str">
        <f t="shared" si="7"/>
        <v/>
      </c>
      <c r="E72" s="11" t="str">
        <f t="shared" si="8"/>
        <v/>
      </c>
      <c r="F72" s="3">
        <f>IFERROR(Requirment[[#This Row],[Formula_Name]],"")</f>
        <v>0</v>
      </c>
      <c r="G72" s="7">
        <f t="shared" si="9"/>
        <v>71</v>
      </c>
      <c r="H72" s="7" t="str">
        <f>IF(COUNTIF($F$2:F72,F72)=1,ROW()-1,"")</f>
        <v/>
      </c>
      <c r="I72" s="2" t="str">
        <f t="shared" si="10"/>
        <v/>
      </c>
      <c r="J72" s="10" t="str">
        <f t="shared" si="11"/>
        <v/>
      </c>
    </row>
    <row r="73" spans="1:10" x14ac:dyDescent="0.25">
      <c r="A73" s="3" t="str">
        <f>IFERROR(Requirment[[#This Row],[Scenarios_reference]],"")</f>
        <v>__</v>
      </c>
      <c r="B73" s="7">
        <f t="shared" si="6"/>
        <v>72</v>
      </c>
      <c r="C73" s="7" t="str">
        <f>IF(COUNTIF($A$2:A73,A73)=1,ROW()-1,"")</f>
        <v/>
      </c>
      <c r="D73" s="7" t="str">
        <f t="shared" si="7"/>
        <v/>
      </c>
      <c r="E73" s="11" t="str">
        <f t="shared" si="8"/>
        <v/>
      </c>
      <c r="F73" s="3">
        <f>IFERROR(Requirment[[#This Row],[Formula_Name]],"")</f>
        <v>0</v>
      </c>
      <c r="G73" s="7">
        <f t="shared" si="9"/>
        <v>72</v>
      </c>
      <c r="H73" s="7" t="str">
        <f>IF(COUNTIF($F$2:F73,F73)=1,ROW()-1,"")</f>
        <v/>
      </c>
      <c r="I73" s="2" t="str">
        <f t="shared" si="10"/>
        <v/>
      </c>
      <c r="J73" s="10" t="str">
        <f t="shared" si="11"/>
        <v/>
      </c>
    </row>
    <row r="74" spans="1:10" x14ac:dyDescent="0.25">
      <c r="A74" s="3" t="str">
        <f>IFERROR(Requirment[[#This Row],[Scenarios_reference]],"")</f>
        <v>__</v>
      </c>
      <c r="B74" s="7">
        <f t="shared" si="6"/>
        <v>73</v>
      </c>
      <c r="C74" s="7" t="str">
        <f>IF(COUNTIF($A$2:A74,A74)=1,ROW()-1,"")</f>
        <v/>
      </c>
      <c r="D74" s="7" t="str">
        <f t="shared" si="7"/>
        <v/>
      </c>
      <c r="E74" s="11" t="str">
        <f t="shared" si="8"/>
        <v/>
      </c>
      <c r="F74" s="3">
        <f>IFERROR(Requirment[[#This Row],[Formula_Name]],"")</f>
        <v>0</v>
      </c>
      <c r="G74" s="7">
        <f t="shared" si="9"/>
        <v>73</v>
      </c>
      <c r="H74" s="7" t="str">
        <f>IF(COUNTIF($F$2:F74,F74)=1,ROW()-1,"")</f>
        <v/>
      </c>
      <c r="I74" s="2" t="str">
        <f t="shared" si="10"/>
        <v/>
      </c>
      <c r="J74" s="10" t="str">
        <f t="shared" si="11"/>
        <v/>
      </c>
    </row>
    <row r="75" spans="1:10" x14ac:dyDescent="0.25">
      <c r="A75" s="3" t="str">
        <f>IFERROR(Requirment[[#This Row],[Scenarios_reference]],"")</f>
        <v>__</v>
      </c>
      <c r="B75" s="7">
        <f t="shared" si="6"/>
        <v>74</v>
      </c>
      <c r="C75" s="7" t="str">
        <f>IF(COUNTIF($A$2:A75,A75)=1,ROW()-1,"")</f>
        <v/>
      </c>
      <c r="D75" s="7" t="str">
        <f t="shared" si="7"/>
        <v/>
      </c>
      <c r="E75" s="11" t="str">
        <f t="shared" si="8"/>
        <v/>
      </c>
      <c r="F75" s="3">
        <f>IFERROR(Requirment[[#This Row],[Formula_Name]],"")</f>
        <v>0</v>
      </c>
      <c r="G75" s="7">
        <f t="shared" si="9"/>
        <v>74</v>
      </c>
      <c r="H75" s="7" t="str">
        <f>IF(COUNTIF($F$2:F75,F75)=1,ROW()-1,"")</f>
        <v/>
      </c>
      <c r="I75" s="2" t="str">
        <f t="shared" si="10"/>
        <v/>
      </c>
      <c r="J75" s="10" t="str">
        <f t="shared" si="11"/>
        <v/>
      </c>
    </row>
    <row r="76" spans="1:10" x14ac:dyDescent="0.25">
      <c r="A76" s="3" t="str">
        <f>IFERROR(Requirment[[#This Row],[Scenarios_reference]],"")</f>
        <v>__</v>
      </c>
      <c r="B76" s="7">
        <f t="shared" si="6"/>
        <v>75</v>
      </c>
      <c r="C76" s="7" t="str">
        <f>IF(COUNTIF($A$2:A76,A76)=1,ROW()-1,"")</f>
        <v/>
      </c>
      <c r="D76" s="7" t="str">
        <f t="shared" si="7"/>
        <v/>
      </c>
      <c r="E76" s="11" t="str">
        <f t="shared" si="8"/>
        <v/>
      </c>
      <c r="F76" s="3">
        <f>IFERROR(Requirment[[#This Row],[Formula_Name]],"")</f>
        <v>0</v>
      </c>
      <c r="G76" s="7">
        <f t="shared" si="9"/>
        <v>75</v>
      </c>
      <c r="H76" s="7" t="str">
        <f>IF(COUNTIF($F$2:F76,F76)=1,ROW()-1,"")</f>
        <v/>
      </c>
      <c r="I76" s="2" t="str">
        <f t="shared" si="10"/>
        <v/>
      </c>
      <c r="J76" s="10" t="str">
        <f t="shared" si="11"/>
        <v/>
      </c>
    </row>
    <row r="77" spans="1:10" x14ac:dyDescent="0.25">
      <c r="A77" s="3" t="str">
        <f>IFERROR(Requirment[[#This Row],[Scenarios_reference]],"")</f>
        <v>__</v>
      </c>
      <c r="B77" s="7">
        <f t="shared" si="6"/>
        <v>76</v>
      </c>
      <c r="C77" s="7" t="str">
        <f>IF(COUNTIF($A$2:A77,A77)=1,ROW()-1,"")</f>
        <v/>
      </c>
      <c r="D77" s="7" t="str">
        <f t="shared" si="7"/>
        <v/>
      </c>
      <c r="E77" s="11" t="str">
        <f t="shared" si="8"/>
        <v/>
      </c>
      <c r="F77" s="3">
        <f>IFERROR(Requirment[[#This Row],[Formula_Name]],"")</f>
        <v>0</v>
      </c>
      <c r="G77" s="7">
        <f t="shared" si="9"/>
        <v>76</v>
      </c>
      <c r="H77" s="7" t="str">
        <f>IF(COUNTIF($F$2:F77,F77)=1,ROW()-1,"")</f>
        <v/>
      </c>
      <c r="I77" s="2" t="str">
        <f t="shared" si="10"/>
        <v/>
      </c>
      <c r="J77" s="10" t="str">
        <f t="shared" si="11"/>
        <v/>
      </c>
    </row>
    <row r="78" spans="1:10" x14ac:dyDescent="0.25">
      <c r="A78" s="3" t="str">
        <f>IFERROR(Requirment[[#This Row],[Scenarios_reference]],"")</f>
        <v>__</v>
      </c>
      <c r="B78" s="7">
        <f t="shared" si="6"/>
        <v>77</v>
      </c>
      <c r="C78" s="7" t="str">
        <f>IF(COUNTIF($A$2:A78,A78)=1,ROW()-1,"")</f>
        <v/>
      </c>
      <c r="D78" s="7" t="str">
        <f t="shared" si="7"/>
        <v/>
      </c>
      <c r="E78" s="11" t="str">
        <f t="shared" si="8"/>
        <v/>
      </c>
      <c r="F78" s="3">
        <f>IFERROR(Requirment[[#This Row],[Formula_Name]],"")</f>
        <v>0</v>
      </c>
      <c r="G78" s="7">
        <f t="shared" si="9"/>
        <v>77</v>
      </c>
      <c r="H78" s="7" t="str">
        <f>IF(COUNTIF($F$2:F78,F78)=1,ROW()-1,"")</f>
        <v/>
      </c>
      <c r="I78" s="2" t="str">
        <f t="shared" si="10"/>
        <v/>
      </c>
      <c r="J78" s="10" t="str">
        <f t="shared" si="11"/>
        <v/>
      </c>
    </row>
    <row r="79" spans="1:10" x14ac:dyDescent="0.25">
      <c r="A79" s="3" t="str">
        <f>IFERROR(Requirment[[#This Row],[Scenarios_reference]],"")</f>
        <v>__</v>
      </c>
      <c r="B79" s="7">
        <f t="shared" si="6"/>
        <v>78</v>
      </c>
      <c r="C79" s="7" t="str">
        <f>IF(COUNTIF($A$2:A79,A79)=1,ROW()-1,"")</f>
        <v/>
      </c>
      <c r="D79" s="7" t="str">
        <f t="shared" si="7"/>
        <v/>
      </c>
      <c r="E79" s="11" t="str">
        <f t="shared" si="8"/>
        <v/>
      </c>
      <c r="F79" s="3">
        <f>IFERROR(Requirment[[#This Row],[Formula_Name]],"")</f>
        <v>0</v>
      </c>
      <c r="G79" s="7">
        <f t="shared" si="9"/>
        <v>78</v>
      </c>
      <c r="H79" s="7" t="str">
        <f>IF(COUNTIF($F$2:F79,F79)=1,ROW()-1,"")</f>
        <v/>
      </c>
      <c r="I79" s="2" t="str">
        <f t="shared" si="10"/>
        <v/>
      </c>
      <c r="J79" s="10" t="str">
        <f t="shared" si="11"/>
        <v/>
      </c>
    </row>
    <row r="80" spans="1:10" x14ac:dyDescent="0.25">
      <c r="A80" s="3" t="str">
        <f>IFERROR(Requirment[[#This Row],[Scenarios_reference]],"")</f>
        <v>__</v>
      </c>
      <c r="B80" s="7">
        <f t="shared" si="6"/>
        <v>79</v>
      </c>
      <c r="C80" s="7" t="str">
        <f>IF(COUNTIF($A$2:A80,A80)=1,ROW()-1,"")</f>
        <v/>
      </c>
      <c r="D80" s="7" t="str">
        <f t="shared" si="7"/>
        <v/>
      </c>
      <c r="E80" s="11" t="str">
        <f t="shared" si="8"/>
        <v/>
      </c>
      <c r="F80" s="3">
        <f>IFERROR(Requirment[[#This Row],[Formula_Name]],"")</f>
        <v>0</v>
      </c>
      <c r="G80" s="7">
        <f t="shared" si="9"/>
        <v>79</v>
      </c>
      <c r="H80" s="7" t="str">
        <f>IF(COUNTIF($F$2:F80,F80)=1,ROW()-1,"")</f>
        <v/>
      </c>
      <c r="I80" s="2" t="str">
        <f t="shared" si="10"/>
        <v/>
      </c>
      <c r="J80" s="10" t="str">
        <f t="shared" si="11"/>
        <v/>
      </c>
    </row>
    <row r="81" spans="1:10" x14ac:dyDescent="0.25">
      <c r="A81" s="3" t="str">
        <f>IFERROR(Requirment[[#This Row],[Scenarios_reference]],"")</f>
        <v>__</v>
      </c>
      <c r="B81" s="7">
        <f t="shared" si="6"/>
        <v>80</v>
      </c>
      <c r="C81" s="7" t="str">
        <f>IF(COUNTIF($A$2:A81,A81)=1,ROW()-1,"")</f>
        <v/>
      </c>
      <c r="D81" s="7" t="str">
        <f t="shared" si="7"/>
        <v/>
      </c>
      <c r="E81" s="11" t="str">
        <f t="shared" si="8"/>
        <v/>
      </c>
      <c r="F81" s="3">
        <f>IFERROR(Requirment[[#This Row],[Formula_Name]],"")</f>
        <v>0</v>
      </c>
      <c r="G81" s="7">
        <f t="shared" si="9"/>
        <v>80</v>
      </c>
      <c r="H81" s="7" t="str">
        <f>IF(COUNTIF($F$2:F81,F81)=1,ROW()-1,"")</f>
        <v/>
      </c>
      <c r="I81" s="2" t="str">
        <f t="shared" si="10"/>
        <v/>
      </c>
      <c r="J81" s="10" t="str">
        <f t="shared" si="11"/>
        <v/>
      </c>
    </row>
    <row r="82" spans="1:10" x14ac:dyDescent="0.25">
      <c r="A82" s="3" t="str">
        <f>IFERROR(Requirment[[#This Row],[Scenarios_reference]],"")</f>
        <v>__</v>
      </c>
      <c r="B82" s="7">
        <f t="shared" si="6"/>
        <v>81</v>
      </c>
      <c r="C82" s="7" t="str">
        <f>IF(COUNTIF($A$2:A82,A82)=1,ROW()-1,"")</f>
        <v/>
      </c>
      <c r="D82" s="7" t="str">
        <f t="shared" si="7"/>
        <v/>
      </c>
      <c r="E82" s="11" t="str">
        <f t="shared" si="8"/>
        <v/>
      </c>
      <c r="F82" s="3">
        <f>IFERROR(Requirment[[#This Row],[Formula_Name]],"")</f>
        <v>0</v>
      </c>
      <c r="G82" s="7">
        <f t="shared" si="9"/>
        <v>81</v>
      </c>
      <c r="H82" s="7" t="str">
        <f>IF(COUNTIF($F$2:F82,F82)=1,ROW()-1,"")</f>
        <v/>
      </c>
      <c r="I82" s="2" t="str">
        <f t="shared" si="10"/>
        <v/>
      </c>
      <c r="J82" s="10" t="str">
        <f t="shared" si="11"/>
        <v/>
      </c>
    </row>
    <row r="83" spans="1:10" x14ac:dyDescent="0.25">
      <c r="A83" s="3" t="str">
        <f>IFERROR(Requirment[[#This Row],[Scenarios_reference]],"")</f>
        <v>__</v>
      </c>
      <c r="B83" s="7">
        <f t="shared" si="6"/>
        <v>82</v>
      </c>
      <c r="C83" s="7" t="str">
        <f>IF(COUNTIF($A$2:A83,A83)=1,ROW()-1,"")</f>
        <v/>
      </c>
      <c r="D83" s="7" t="str">
        <f t="shared" si="7"/>
        <v/>
      </c>
      <c r="E83" s="11" t="str">
        <f t="shared" si="8"/>
        <v/>
      </c>
      <c r="F83" s="3">
        <f>IFERROR(Requirment[[#This Row],[Formula_Name]],"")</f>
        <v>0</v>
      </c>
      <c r="G83" s="7">
        <f t="shared" si="9"/>
        <v>82</v>
      </c>
      <c r="H83" s="7" t="str">
        <f>IF(COUNTIF($F$2:F83,F83)=1,ROW()-1,"")</f>
        <v/>
      </c>
      <c r="I83" s="2" t="str">
        <f t="shared" si="10"/>
        <v/>
      </c>
      <c r="J83" s="10" t="str">
        <f t="shared" si="11"/>
        <v/>
      </c>
    </row>
    <row r="84" spans="1:10" x14ac:dyDescent="0.25">
      <c r="A84" s="3" t="str">
        <f>IFERROR(Requirment[[#This Row],[Scenarios_reference]],"")</f>
        <v>__</v>
      </c>
      <c r="B84" s="7">
        <f t="shared" si="6"/>
        <v>83</v>
      </c>
      <c r="C84" s="7" t="str">
        <f>IF(COUNTIF($A$2:A84,A84)=1,ROW()-1,"")</f>
        <v/>
      </c>
      <c r="D84" s="7" t="str">
        <f t="shared" si="7"/>
        <v/>
      </c>
      <c r="E84" s="11" t="str">
        <f t="shared" si="8"/>
        <v/>
      </c>
      <c r="F84" s="3">
        <f>IFERROR(Requirment[[#This Row],[Formula_Name]],"")</f>
        <v>0</v>
      </c>
      <c r="G84" s="7">
        <f t="shared" si="9"/>
        <v>83</v>
      </c>
      <c r="H84" s="7" t="str">
        <f>IF(COUNTIF($F$2:F84,F84)=1,ROW()-1,"")</f>
        <v/>
      </c>
      <c r="I84" s="2" t="str">
        <f t="shared" si="10"/>
        <v/>
      </c>
      <c r="J84" s="10" t="str">
        <f t="shared" si="11"/>
        <v/>
      </c>
    </row>
    <row r="85" spans="1:10" x14ac:dyDescent="0.25">
      <c r="A85" s="3" t="str">
        <f>IFERROR(Requirment[[#This Row],[Scenarios_reference]],"")</f>
        <v>__</v>
      </c>
      <c r="B85" s="7">
        <f t="shared" si="6"/>
        <v>84</v>
      </c>
      <c r="C85" s="7" t="str">
        <f>IF(COUNTIF($A$2:A85,A85)=1,ROW()-1,"")</f>
        <v/>
      </c>
      <c r="D85" s="7" t="str">
        <f t="shared" si="7"/>
        <v/>
      </c>
      <c r="E85" s="11" t="str">
        <f t="shared" si="8"/>
        <v/>
      </c>
      <c r="F85" s="3">
        <f>IFERROR(Requirment[[#This Row],[Formula_Name]],"")</f>
        <v>0</v>
      </c>
      <c r="G85" s="7">
        <f t="shared" si="9"/>
        <v>84</v>
      </c>
      <c r="H85" s="7" t="str">
        <f>IF(COUNTIF($F$2:F85,F85)=1,ROW()-1,"")</f>
        <v/>
      </c>
      <c r="I85" s="2" t="str">
        <f t="shared" si="10"/>
        <v/>
      </c>
      <c r="J85" s="10" t="str">
        <f t="shared" si="11"/>
        <v/>
      </c>
    </row>
    <row r="86" spans="1:10" x14ac:dyDescent="0.25">
      <c r="A86" s="3" t="str">
        <f>IFERROR(Requirment[[#This Row],[Scenarios_reference]],"")</f>
        <v>__</v>
      </c>
      <c r="B86" s="7">
        <f t="shared" si="6"/>
        <v>85</v>
      </c>
      <c r="C86" s="7" t="str">
        <f>IF(COUNTIF($A$2:A86,A86)=1,ROW()-1,"")</f>
        <v/>
      </c>
      <c r="D86" s="7" t="str">
        <f t="shared" si="7"/>
        <v/>
      </c>
      <c r="E86" s="11" t="str">
        <f t="shared" si="8"/>
        <v/>
      </c>
      <c r="F86" s="3">
        <f>IFERROR(Requirment[[#This Row],[Formula_Name]],"")</f>
        <v>0</v>
      </c>
      <c r="G86" s="7">
        <f t="shared" si="9"/>
        <v>85</v>
      </c>
      <c r="H86" s="7" t="str">
        <f>IF(COUNTIF($F$2:F86,F86)=1,ROW()-1,"")</f>
        <v/>
      </c>
      <c r="I86" s="2" t="str">
        <f t="shared" si="10"/>
        <v/>
      </c>
      <c r="J86" s="10" t="str">
        <f t="shared" si="11"/>
        <v/>
      </c>
    </row>
    <row r="87" spans="1:10" x14ac:dyDescent="0.25">
      <c r="A87" s="3" t="str">
        <f>IFERROR(Requirment[[#This Row],[Scenarios_reference]],"")</f>
        <v>__</v>
      </c>
      <c r="B87" s="7">
        <f t="shared" si="6"/>
        <v>86</v>
      </c>
      <c r="C87" s="7" t="str">
        <f>IF(COUNTIF($A$2:A87,A87)=1,ROW()-1,"")</f>
        <v/>
      </c>
      <c r="D87" s="7" t="str">
        <f t="shared" si="7"/>
        <v/>
      </c>
      <c r="E87" s="11" t="str">
        <f t="shared" si="8"/>
        <v/>
      </c>
      <c r="F87" s="3">
        <f>IFERROR(Requirment[[#This Row],[Formula_Name]],"")</f>
        <v>0</v>
      </c>
      <c r="G87" s="7">
        <f t="shared" si="9"/>
        <v>86</v>
      </c>
      <c r="H87" s="7" t="str">
        <f>IF(COUNTIF($F$2:F87,F87)=1,ROW()-1,"")</f>
        <v/>
      </c>
      <c r="I87" s="2" t="str">
        <f t="shared" si="10"/>
        <v/>
      </c>
      <c r="J87" s="10" t="str">
        <f t="shared" si="11"/>
        <v/>
      </c>
    </row>
    <row r="88" spans="1:10" x14ac:dyDescent="0.25">
      <c r="A88" s="3" t="str">
        <f>IFERROR(Requirment[[#This Row],[Scenarios_reference]],"")</f>
        <v>__</v>
      </c>
      <c r="B88" s="7">
        <f t="shared" si="6"/>
        <v>87</v>
      </c>
      <c r="C88" s="7" t="str">
        <f>IF(COUNTIF($A$2:A88,A88)=1,ROW()-1,"")</f>
        <v/>
      </c>
      <c r="D88" s="7" t="str">
        <f t="shared" si="7"/>
        <v/>
      </c>
      <c r="E88" s="11" t="str">
        <f t="shared" si="8"/>
        <v/>
      </c>
      <c r="F88" s="3">
        <f>IFERROR(Requirment[[#This Row],[Formula_Name]],"")</f>
        <v>0</v>
      </c>
      <c r="G88" s="7">
        <f t="shared" si="9"/>
        <v>87</v>
      </c>
      <c r="H88" s="7" t="str">
        <f>IF(COUNTIF($F$2:F88,F88)=1,ROW()-1,"")</f>
        <v/>
      </c>
      <c r="I88" s="2" t="str">
        <f t="shared" si="10"/>
        <v/>
      </c>
      <c r="J88" s="10" t="str">
        <f t="shared" si="11"/>
        <v/>
      </c>
    </row>
    <row r="89" spans="1:10" x14ac:dyDescent="0.25">
      <c r="A89" s="3" t="str">
        <f>IFERROR(Requirment[[#This Row],[Scenarios_reference]],"")</f>
        <v>__</v>
      </c>
      <c r="B89" s="7">
        <f t="shared" si="6"/>
        <v>88</v>
      </c>
      <c r="C89" s="7" t="str">
        <f>IF(COUNTIF($A$2:A89,A89)=1,ROW()-1,"")</f>
        <v/>
      </c>
      <c r="D89" s="7" t="str">
        <f t="shared" si="7"/>
        <v/>
      </c>
      <c r="E89" s="11" t="str">
        <f t="shared" si="8"/>
        <v/>
      </c>
      <c r="F89" s="3">
        <f>IFERROR(Requirment[[#This Row],[Formula_Name]],"")</f>
        <v>0</v>
      </c>
      <c r="G89" s="7">
        <f t="shared" si="9"/>
        <v>88</v>
      </c>
      <c r="H89" s="7" t="str">
        <f>IF(COUNTIF($F$2:F89,F89)=1,ROW()-1,"")</f>
        <v/>
      </c>
      <c r="I89" s="2" t="str">
        <f t="shared" si="10"/>
        <v/>
      </c>
      <c r="J89" s="10" t="str">
        <f t="shared" si="11"/>
        <v/>
      </c>
    </row>
    <row r="90" spans="1:10" x14ac:dyDescent="0.25">
      <c r="A90" s="3" t="str">
        <f>IFERROR(Requirment[[#This Row],[Scenarios_reference]],"")</f>
        <v>__</v>
      </c>
      <c r="B90" s="7">
        <f t="shared" si="6"/>
        <v>89</v>
      </c>
      <c r="C90" s="7" t="str">
        <f>IF(COUNTIF($A$2:A90,A90)=1,ROW()-1,"")</f>
        <v/>
      </c>
      <c r="D90" s="7" t="str">
        <f t="shared" si="7"/>
        <v/>
      </c>
      <c r="E90" s="11" t="str">
        <f t="shared" si="8"/>
        <v/>
      </c>
      <c r="F90" s="3">
        <f>IFERROR(Requirment[[#This Row],[Formula_Name]],"")</f>
        <v>0</v>
      </c>
      <c r="G90" s="7">
        <f t="shared" si="9"/>
        <v>89</v>
      </c>
      <c r="H90" s="7" t="str">
        <f>IF(COUNTIF($F$2:F90,F90)=1,ROW()-1,"")</f>
        <v/>
      </c>
      <c r="I90" s="2" t="str">
        <f t="shared" si="10"/>
        <v/>
      </c>
      <c r="J90" s="10" t="str">
        <f t="shared" si="11"/>
        <v/>
      </c>
    </row>
    <row r="91" spans="1:10" x14ac:dyDescent="0.25">
      <c r="A91" s="3" t="str">
        <f>IFERROR(Requirment[[#This Row],[Scenarios_reference]],"")</f>
        <v>__</v>
      </c>
      <c r="B91" s="7">
        <f t="shared" si="6"/>
        <v>90</v>
      </c>
      <c r="C91" s="7" t="str">
        <f>IF(COUNTIF($A$2:A91,A91)=1,ROW()-1,"")</f>
        <v/>
      </c>
      <c r="D91" s="7" t="str">
        <f t="shared" si="7"/>
        <v/>
      </c>
      <c r="E91" s="11" t="str">
        <f t="shared" si="8"/>
        <v/>
      </c>
      <c r="F91" s="3">
        <f>IFERROR(Requirment[[#This Row],[Formula_Name]],"")</f>
        <v>0</v>
      </c>
      <c r="G91" s="7">
        <f t="shared" si="9"/>
        <v>90</v>
      </c>
      <c r="H91" s="7" t="str">
        <f>IF(COUNTIF($F$2:F91,F91)=1,ROW()-1,"")</f>
        <v/>
      </c>
      <c r="I91" s="2" t="str">
        <f t="shared" si="10"/>
        <v/>
      </c>
      <c r="J91" s="10" t="str">
        <f t="shared" si="11"/>
        <v/>
      </c>
    </row>
    <row r="92" spans="1:10" x14ac:dyDescent="0.25">
      <c r="A92" s="3" t="str">
        <f>IFERROR(Requirment[[#This Row],[Scenarios_reference]],"")</f>
        <v>__</v>
      </c>
      <c r="B92" s="7">
        <f t="shared" si="6"/>
        <v>91</v>
      </c>
      <c r="C92" s="7" t="str">
        <f>IF(COUNTIF($A$2:A92,A92)=1,ROW()-1,"")</f>
        <v/>
      </c>
      <c r="D92" s="7" t="str">
        <f t="shared" si="7"/>
        <v/>
      </c>
      <c r="E92" s="11" t="str">
        <f t="shared" si="8"/>
        <v/>
      </c>
      <c r="F92" s="3">
        <f>IFERROR(Requirment[[#This Row],[Formula_Name]],"")</f>
        <v>0</v>
      </c>
      <c r="G92" s="7">
        <f t="shared" si="9"/>
        <v>91</v>
      </c>
      <c r="H92" s="7" t="str">
        <f>IF(COUNTIF($F$2:F92,F92)=1,ROW()-1,"")</f>
        <v/>
      </c>
      <c r="I92" s="2" t="str">
        <f t="shared" si="10"/>
        <v/>
      </c>
      <c r="J92" s="10" t="str">
        <f t="shared" si="11"/>
        <v/>
      </c>
    </row>
    <row r="93" spans="1:10" x14ac:dyDescent="0.25">
      <c r="A93" s="3" t="str">
        <f>IFERROR(Requirment[[#This Row],[Scenarios_reference]],"")</f>
        <v>__</v>
      </c>
      <c r="B93" s="7">
        <f t="shared" si="6"/>
        <v>92</v>
      </c>
      <c r="C93" s="7" t="str">
        <f>IF(COUNTIF($A$2:A93,A93)=1,ROW()-1,"")</f>
        <v/>
      </c>
      <c r="D93" s="7" t="str">
        <f t="shared" si="7"/>
        <v/>
      </c>
      <c r="E93" s="11" t="str">
        <f t="shared" si="8"/>
        <v/>
      </c>
      <c r="F93" s="3">
        <f>IFERROR(Requirment[[#This Row],[Formula_Name]],"")</f>
        <v>0</v>
      </c>
      <c r="G93" s="7">
        <f t="shared" si="9"/>
        <v>92</v>
      </c>
      <c r="H93" s="7" t="str">
        <f>IF(COUNTIF($F$2:F93,F93)=1,ROW()-1,"")</f>
        <v/>
      </c>
      <c r="I93" s="2" t="str">
        <f t="shared" si="10"/>
        <v/>
      </c>
      <c r="J93" s="10" t="str">
        <f t="shared" si="11"/>
        <v/>
      </c>
    </row>
    <row r="94" spans="1:10" x14ac:dyDescent="0.25">
      <c r="A94" s="3" t="str">
        <f>IFERROR(Requirment[[#This Row],[Scenarios_reference]],"")</f>
        <v>__</v>
      </c>
      <c r="B94" s="7">
        <f t="shared" si="6"/>
        <v>93</v>
      </c>
      <c r="C94" s="7" t="str">
        <f>IF(COUNTIF($A$2:A94,A94)=1,ROW()-1,"")</f>
        <v/>
      </c>
      <c r="D94" s="7" t="str">
        <f t="shared" si="7"/>
        <v/>
      </c>
      <c r="E94" s="11" t="str">
        <f t="shared" si="8"/>
        <v/>
      </c>
      <c r="F94" s="3">
        <f>IFERROR(Requirment[[#This Row],[Formula_Name]],"")</f>
        <v>0</v>
      </c>
      <c r="G94" s="7">
        <f t="shared" si="9"/>
        <v>93</v>
      </c>
      <c r="H94" s="7" t="str">
        <f>IF(COUNTIF($F$2:F94,F94)=1,ROW()-1,"")</f>
        <v/>
      </c>
      <c r="I94" s="2" t="str">
        <f t="shared" si="10"/>
        <v/>
      </c>
      <c r="J94" s="10" t="str">
        <f t="shared" si="11"/>
        <v/>
      </c>
    </row>
    <row r="95" spans="1:10" x14ac:dyDescent="0.25">
      <c r="A95" s="3" t="str">
        <f>IFERROR(Requirment[[#This Row],[Scenarios_reference]],"")</f>
        <v>__</v>
      </c>
      <c r="B95" s="7">
        <f t="shared" si="6"/>
        <v>94</v>
      </c>
      <c r="C95" s="7" t="str">
        <f>IF(COUNTIF($A$2:A95,A95)=1,ROW()-1,"")</f>
        <v/>
      </c>
      <c r="D95" s="7" t="str">
        <f t="shared" si="7"/>
        <v/>
      </c>
      <c r="E95" s="11" t="str">
        <f t="shared" si="8"/>
        <v/>
      </c>
      <c r="F95" s="3">
        <f>IFERROR(Requirment[[#This Row],[Formula_Name]],"")</f>
        <v>0</v>
      </c>
      <c r="G95" s="7">
        <f t="shared" si="9"/>
        <v>94</v>
      </c>
      <c r="H95" s="7" t="str">
        <f>IF(COUNTIF($F$2:F95,F95)=1,ROW()-1,"")</f>
        <v/>
      </c>
      <c r="I95" s="2" t="str">
        <f t="shared" si="10"/>
        <v/>
      </c>
      <c r="J95" s="10" t="str">
        <f t="shared" si="11"/>
        <v/>
      </c>
    </row>
    <row r="96" spans="1:10" x14ac:dyDescent="0.25">
      <c r="A96" s="3" t="str">
        <f>IFERROR(Requirment[[#This Row],[Scenarios_reference]],"")</f>
        <v>__</v>
      </c>
      <c r="B96" s="7">
        <f t="shared" si="6"/>
        <v>95</v>
      </c>
      <c r="C96" s="7" t="str">
        <f>IF(COUNTIF($A$2:A96,A96)=1,ROW()-1,"")</f>
        <v/>
      </c>
      <c r="D96" s="7" t="str">
        <f t="shared" si="7"/>
        <v/>
      </c>
      <c r="E96" s="11" t="str">
        <f t="shared" si="8"/>
        <v/>
      </c>
      <c r="F96" s="3">
        <f>IFERROR(Requirment[[#This Row],[Formula_Name]],"")</f>
        <v>0</v>
      </c>
      <c r="G96" s="7">
        <f t="shared" si="9"/>
        <v>95</v>
      </c>
      <c r="H96" s="7" t="str">
        <f>IF(COUNTIF($F$2:F96,F96)=1,ROW()-1,"")</f>
        <v/>
      </c>
      <c r="I96" s="2" t="str">
        <f t="shared" si="10"/>
        <v/>
      </c>
      <c r="J96" s="10" t="str">
        <f t="shared" si="11"/>
        <v/>
      </c>
    </row>
    <row r="97" spans="1:10" x14ac:dyDescent="0.25">
      <c r="A97" s="3" t="str">
        <f>IFERROR(Requirment[[#This Row],[Scenarios_reference]],"")</f>
        <v>__</v>
      </c>
      <c r="B97" s="7">
        <f t="shared" si="6"/>
        <v>96</v>
      </c>
      <c r="C97" s="7" t="str">
        <f>IF(COUNTIF($A$2:A97,A97)=1,ROW()-1,"")</f>
        <v/>
      </c>
      <c r="D97" s="7" t="str">
        <f t="shared" si="7"/>
        <v/>
      </c>
      <c r="E97" s="11" t="str">
        <f t="shared" si="8"/>
        <v/>
      </c>
      <c r="F97" s="3">
        <f>IFERROR(Requirment[[#This Row],[Formula_Name]],"")</f>
        <v>0</v>
      </c>
      <c r="G97" s="7">
        <f t="shared" si="9"/>
        <v>96</v>
      </c>
      <c r="H97" s="7" t="str">
        <f>IF(COUNTIF($F$2:F97,F97)=1,ROW()-1,"")</f>
        <v/>
      </c>
      <c r="I97" s="2" t="str">
        <f t="shared" si="10"/>
        <v/>
      </c>
      <c r="J97" s="10" t="str">
        <f t="shared" si="11"/>
        <v/>
      </c>
    </row>
    <row r="98" spans="1:10" x14ac:dyDescent="0.25">
      <c r="A98" s="3" t="str">
        <f>IFERROR(Requirment[[#This Row],[Scenarios_reference]],"")</f>
        <v>__</v>
      </c>
      <c r="B98" s="7">
        <f t="shared" si="6"/>
        <v>97</v>
      </c>
      <c r="C98" s="7" t="str">
        <f>IF(COUNTIF($A$2:A98,A98)=1,ROW()-1,"")</f>
        <v/>
      </c>
      <c r="D98" s="7" t="str">
        <f t="shared" si="7"/>
        <v/>
      </c>
      <c r="E98" s="11" t="str">
        <f t="shared" si="8"/>
        <v/>
      </c>
      <c r="F98" s="3">
        <f>IFERROR(Requirment[[#This Row],[Formula_Name]],"")</f>
        <v>0</v>
      </c>
      <c r="G98" s="7">
        <f t="shared" si="9"/>
        <v>97</v>
      </c>
      <c r="H98" s="7" t="str">
        <f>IF(COUNTIF($F$2:F98,F98)=1,ROW()-1,"")</f>
        <v/>
      </c>
      <c r="I98" s="2" t="str">
        <f t="shared" si="10"/>
        <v/>
      </c>
      <c r="J98" s="10" t="str">
        <f t="shared" si="11"/>
        <v/>
      </c>
    </row>
    <row r="99" spans="1:10" x14ac:dyDescent="0.25">
      <c r="A99" s="3" t="str">
        <f>IFERROR(Requirment[[#This Row],[Scenarios_reference]],"")</f>
        <v>__</v>
      </c>
      <c r="B99" s="7">
        <f t="shared" si="6"/>
        <v>98</v>
      </c>
      <c r="C99" s="7" t="str">
        <f>IF(COUNTIF($A$2:A99,A99)=1,ROW()-1,"")</f>
        <v/>
      </c>
      <c r="D99" s="7" t="str">
        <f t="shared" si="7"/>
        <v/>
      </c>
      <c r="E99" s="11" t="str">
        <f t="shared" si="8"/>
        <v/>
      </c>
      <c r="F99" s="3">
        <f>IFERROR(Requirment[[#This Row],[Formula_Name]],"")</f>
        <v>0</v>
      </c>
      <c r="G99" s="7">
        <f t="shared" si="9"/>
        <v>98</v>
      </c>
      <c r="H99" s="7" t="str">
        <f>IF(COUNTIF($F$2:F99,F99)=1,ROW()-1,"")</f>
        <v/>
      </c>
      <c r="I99" s="2" t="str">
        <f t="shared" si="10"/>
        <v/>
      </c>
      <c r="J99" s="10" t="str">
        <f t="shared" si="11"/>
        <v/>
      </c>
    </row>
    <row r="100" spans="1:10" ht="15.75" thickBot="1" x14ac:dyDescent="0.3">
      <c r="A100" s="4" t="str">
        <f>IFERROR(Requirment[[#This Row],[Scenarios_reference]],"")</f>
        <v>__</v>
      </c>
      <c r="B100" s="9">
        <f t="shared" si="6"/>
        <v>99</v>
      </c>
      <c r="C100" s="9" t="str">
        <f>IF(COUNTIF($A$2:A100,A100)=1,ROW()-1,"")</f>
        <v/>
      </c>
      <c r="D100" s="9" t="str">
        <f t="shared" si="7"/>
        <v/>
      </c>
      <c r="E100" s="11" t="str">
        <f t="shared" si="8"/>
        <v/>
      </c>
      <c r="F100" s="4">
        <f>IFERROR(Requirment[[#This Row],[Formula_Name]],"")</f>
        <v>0</v>
      </c>
      <c r="G100" s="9">
        <f t="shared" si="9"/>
        <v>99</v>
      </c>
      <c r="H100" s="9" t="str">
        <f>IF(COUNTIF($F$2:F100,F100)=1,ROW()-1,"")</f>
        <v/>
      </c>
      <c r="I100" s="5" t="str">
        <f t="shared" si="10"/>
        <v/>
      </c>
      <c r="J100" s="10" t="str">
        <f t="shared" si="11"/>
        <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
  <sheetViews>
    <sheetView workbookViewId="0">
      <selection activeCell="U31" sqref="U31"/>
    </sheetView>
  </sheetViews>
  <sheetFormatPr baseColWidth="10" defaultColWidth="8.7109375" defaultRowHeight="15" x14ac:dyDescent="0.25"/>
  <sheetData/>
  <sheetProtection algorithmName="SHA-512" hashValue="Vi6RKP9NGO71AVS5lPkMN1s9cdzUq/X15iyldYN6dP6MtmLZ/mPpVLumPN7Mu3G4bUbNVIDjqXeOj/t34ohvxQ==" saltValue="rbhWvqYgicZ+GMeXWp+GJA=="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4C37B18FE2B047B003CFAF643FE699" ma:contentTypeVersion="11" ma:contentTypeDescription="Create a new document." ma:contentTypeScope="" ma:versionID="76495632b8453f545bbf1da1d42c2aec">
  <xsd:schema xmlns:xsd="http://www.w3.org/2001/XMLSchema" xmlns:xs="http://www.w3.org/2001/XMLSchema" xmlns:p="http://schemas.microsoft.com/office/2006/metadata/properties" xmlns:ns2="387a69ba-0e93-4d1d-a5e7-3a93ab30ff64" xmlns:ns3="72452aeb-3359-458a-a57f-8a2b32c9dab5" targetNamespace="http://schemas.microsoft.com/office/2006/metadata/properties" ma:root="true" ma:fieldsID="087aa3160156b9dbbb791e2baa17cbb8" ns2:_="" ns3:_="">
    <xsd:import namespace="387a69ba-0e93-4d1d-a5e7-3a93ab30ff64"/>
    <xsd:import namespace="72452aeb-3359-458a-a57f-8a2b32c9dab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7a69ba-0e93-4d1d-a5e7-3a93ab30ff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452aeb-3359-458a-a57f-8a2b32c9dab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F0BAD9-7CF7-4492-9F0A-8374ACC9BD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7a69ba-0e93-4d1d-a5e7-3a93ab30ff64"/>
    <ds:schemaRef ds:uri="72452aeb-3359-458a-a57f-8a2b32c9da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C097E8-B35C-49BD-B229-E2F74CA49002}">
  <ds:schemaRefs>
    <ds:schemaRef ds:uri="http://schemas.microsoft.com/sharepoint/v3/contenttype/forms"/>
  </ds:schemaRefs>
</ds:datastoreItem>
</file>

<file path=customXml/itemProps3.xml><?xml version="1.0" encoding="utf-8"?>
<ds:datastoreItem xmlns:ds="http://schemas.openxmlformats.org/officeDocument/2006/customXml" ds:itemID="{34AB5D16-5C3D-4A8D-B009-1464D5739641}">
  <ds:schemaRefs>
    <ds:schemaRef ds:uri="387a69ba-0e93-4d1d-a5e7-3a93ab30ff64"/>
    <ds:schemaRef ds:uri="http://schemas.microsoft.com/office/infopath/2007/PartnerControls"/>
    <ds:schemaRef ds:uri="http://purl.org/dc/terms/"/>
    <ds:schemaRef ds:uri="http://purl.org/dc/elements/1.1/"/>
    <ds:schemaRef ds:uri="http://www.w3.org/XML/1998/namespace"/>
    <ds:schemaRef ds:uri="http://schemas.microsoft.com/office/2006/documentManagement/types"/>
    <ds:schemaRef ds:uri="http://purl.org/dc/dcmitype/"/>
    <ds:schemaRef ds:uri="http://schemas.openxmlformats.org/package/2006/metadata/core-properties"/>
    <ds:schemaRef ds:uri="72452aeb-3359-458a-a57f-8a2b32c9dab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Impressum</vt:lpstr>
      <vt:lpstr>Tool</vt:lpstr>
      <vt:lpstr>Database_Feedstuffs</vt:lpstr>
      <vt:lpstr>Poultry_Needs</vt:lpstr>
      <vt:lpstr>Roughage_Forage</vt:lpstr>
      <vt:lpstr>PDF_Export</vt:lpstr>
      <vt:lpstr>Contribution</vt:lpstr>
      <vt:lpstr>List_sheet</vt:lpstr>
      <vt:lpstr>About</vt:lpstr>
      <vt:lpstr>References</vt:lpstr>
      <vt:lpstr>About!l_feedstuffs</vt:lpstr>
      <vt:lpstr>l_feedstuffs</vt:lpstr>
      <vt:lpstr>About!l_formula</vt:lpstr>
      <vt:lpstr>l_formula</vt:lpstr>
      <vt:lpstr>About!l_scenarios</vt:lpstr>
      <vt:lpstr>l_scenarios</vt:lpstr>
      <vt:lpstr>About!p_formula</vt:lpstr>
      <vt:lpstr>p_formula</vt:lpstr>
      <vt:lpstr>About!p_scenarios</vt:lpstr>
      <vt:lpstr>p_scenarios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msani111</dc:creator>
  <cp:keywords/>
  <dc:description/>
  <cp:lastModifiedBy>Elevage</cp:lastModifiedBy>
  <cp:revision/>
  <dcterms:created xsi:type="dcterms:W3CDTF">2020-05-29T07:23:15Z</dcterms:created>
  <dcterms:modified xsi:type="dcterms:W3CDTF">2021-01-21T12:37:08Z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0x010100ED4C37B18FE2B047B003CFAF643FE699</vt:lpwstr>
  </property>
</Properties>
</file>